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3" activeTab="6"/>
  </bookViews>
  <sheets>
    <sheet name="Assumptions" sheetId="1" r:id="rId1"/>
    <sheet name="R&amp;D Yield Model" sheetId="2" r:id="rId2"/>
    <sheet name="GE Yield Model" sheetId="3" r:id="rId3"/>
    <sheet name="MCM-D" sheetId="4" r:id="rId4"/>
    <sheet name="R&amp;D Flex Cost" sheetId="5" r:id="rId5"/>
    <sheet name="GE Flex Cost" sheetId="6" r:id="rId6"/>
    <sheet name="R&amp;D Cost Model" sheetId="7" r:id="rId7"/>
    <sheet name="GE Cost Model" sheetId="8" r:id="rId8"/>
  </sheets>
  <definedNames>
    <definedName name="BumpDet">'GE Cost Model'!$F$27</definedName>
    <definedName name="BumpIC">'GE Cost Model'!$F$26</definedName>
    <definedName name="Detwafer">'GE Cost Model'!$F$25</definedName>
    <definedName name="ICwafer">'GE Cost Model'!$F$24</definedName>
    <definedName name="Shipping_loss" localSheetId="3">'MCM-D'!$A$36</definedName>
    <definedName name="Shipping_loss">'GE Yield Model'!$A$39</definedName>
  </definedNames>
  <calcPr fullCalcOnLoad="1"/>
</workbook>
</file>

<file path=xl/sharedStrings.xml><?xml version="1.0" encoding="utf-8"?>
<sst xmlns="http://schemas.openxmlformats.org/spreadsheetml/2006/main" count="372" uniqueCount="130">
  <si>
    <t>Pixel Module Yield Model</t>
  </si>
  <si>
    <t>ICs</t>
  </si>
  <si>
    <t>Step</t>
  </si>
  <si>
    <t>Detectors</t>
  </si>
  <si>
    <t>Flex</t>
  </si>
  <si>
    <t>Fab</t>
  </si>
  <si>
    <t>Ship</t>
  </si>
  <si>
    <t>Probe</t>
  </si>
  <si>
    <t>Bump deposition</t>
  </si>
  <si>
    <t>Dice</t>
  </si>
  <si>
    <t>Sort</t>
  </si>
  <si>
    <t>Yield(%)</t>
  </si>
  <si>
    <t>Shipping yield</t>
  </si>
  <si>
    <t>Inspection(bump yield)</t>
  </si>
  <si>
    <t>Inspect/repair</t>
  </si>
  <si>
    <t>Mount components</t>
  </si>
  <si>
    <t>per die</t>
  </si>
  <si>
    <t>per tile</t>
  </si>
  <si>
    <t>per flex</t>
  </si>
  <si>
    <t>Module Assembly</t>
  </si>
  <si>
    <t>Flip chip/die</t>
  </si>
  <si>
    <t>Flip chip/module</t>
  </si>
  <si>
    <t>Inspect</t>
  </si>
  <si>
    <t>Attach flex</t>
  </si>
  <si>
    <t>Wire bond(with repair)</t>
  </si>
  <si>
    <t>Attach pwr/optics</t>
  </si>
  <si>
    <t>Test/burn in</t>
  </si>
  <si>
    <t>per module</t>
  </si>
  <si>
    <t>Cost Model Comparison</t>
  </si>
  <si>
    <t>Number of modules</t>
  </si>
  <si>
    <t>Number of die</t>
  </si>
  <si>
    <t>Die per wafer</t>
  </si>
  <si>
    <t>MCM-D</t>
  </si>
  <si>
    <t>Total modules started</t>
  </si>
  <si>
    <t>Total IC die required</t>
  </si>
  <si>
    <t>Total IC wafers</t>
  </si>
  <si>
    <t>Total detector wafers</t>
  </si>
  <si>
    <t>Cost/Unit</t>
  </si>
  <si>
    <t>Cost(kchf)</t>
  </si>
  <si>
    <t>Total bump IC</t>
  </si>
  <si>
    <t>Total bump detector</t>
  </si>
  <si>
    <t>GRAND TOTALS</t>
  </si>
  <si>
    <t>per MCM-D</t>
  </si>
  <si>
    <t>Total flex/MCM-D needed</t>
  </si>
  <si>
    <t>Difference in cost: MCM-D - flex</t>
  </si>
  <si>
    <t>kchf</t>
  </si>
  <si>
    <t>Assumptions for Yield Model</t>
  </si>
  <si>
    <t>These spreadsheets provide a framework for comparing the cost of a flex hybrid implementation of</t>
  </si>
  <si>
    <t>pixel modules and an MCM-D implementation of pixel modules.  You may modify</t>
  </si>
  <si>
    <t>the entries to investigate different models for the yield.</t>
  </si>
  <si>
    <t xml:space="preserve">It should be emphasized that the cost differential between MCM-D and flex depends </t>
  </si>
  <si>
    <t>on both the yield assumptions and the actual cost of the major components(ICs, detectors and</t>
  </si>
  <si>
    <t xml:space="preserve">flex or MCM-D). These costs are not very well known at this time. </t>
  </si>
  <si>
    <t xml:space="preserve">I have used CORE costs for the ICs and the detectors, with the critical assumption that the </t>
  </si>
  <si>
    <t>detector CORE cost corresponds to good tiles only from the detector vendors(100% yield). If</t>
  </si>
  <si>
    <t xml:space="preserve">you don't like this, you can change the spreadsheet entry. </t>
  </si>
  <si>
    <t>Please also note that the IC yield is critical to the absolute cost</t>
  </si>
  <si>
    <t>IC wafer cost assumption is cost/wafer = 6242-(#wafers-1200)x</t>
  </si>
  <si>
    <t>Detector wafer cost assumption is cost/wafer=1150-(#wafers-1200)x</t>
  </si>
  <si>
    <t>Bump IC wafer cost assumption is cost/wafer=690-(#wafers-1200)x</t>
  </si>
  <si>
    <t>Bump detector wafer assumption is cost/wafer=460-(#wafers-1200)x</t>
  </si>
  <si>
    <t>Here are some example results for different assumptions.</t>
  </si>
  <si>
    <t>IC Yield</t>
  </si>
  <si>
    <t>(%)</t>
  </si>
  <si>
    <t>Detector</t>
  </si>
  <si>
    <t>Tiles/Wafer</t>
  </si>
  <si>
    <t>Flex/MCM-D</t>
  </si>
  <si>
    <t>Module</t>
  </si>
  <si>
    <t>Cost of</t>
  </si>
  <si>
    <t>Flex-MCM-D</t>
  </si>
  <si>
    <t>3/3</t>
  </si>
  <si>
    <t>3/2</t>
  </si>
  <si>
    <t>min cost</t>
  </si>
  <si>
    <t>Last update: November 23, 1998</t>
  </si>
  <si>
    <t>Last Update: November 23,1998</t>
  </si>
  <si>
    <t>Last Update: November 23, 1998</t>
  </si>
  <si>
    <t>Probe bare module</t>
  </si>
  <si>
    <t>Thin and metallize</t>
  </si>
  <si>
    <t>Created by R. Boyd January 28, 1999</t>
  </si>
  <si>
    <t>time/unit (min.)</t>
  </si>
  <si>
    <t>cost/unit</t>
  </si>
  <si>
    <t>chf/hour</t>
  </si>
  <si>
    <t>total chf</t>
  </si>
  <si>
    <t>Notes</t>
  </si>
  <si>
    <t>Testing</t>
  </si>
  <si>
    <t>In house</t>
  </si>
  <si>
    <t>Attach to module</t>
  </si>
  <si>
    <t>Wire bond</t>
  </si>
  <si>
    <t>Attach power</t>
  </si>
  <si>
    <t>Attach link</t>
  </si>
  <si>
    <t xml:space="preserve">test/burn in </t>
  </si>
  <si>
    <t>setup, break down, monitor</t>
  </si>
  <si>
    <t>SMT components</t>
  </si>
  <si>
    <t>Assumes caps only, all resistors in IC's</t>
  </si>
  <si>
    <t>Subtotal</t>
  </si>
  <si>
    <t>Item</t>
  </si>
  <si>
    <t>Flex fabrication</t>
  </si>
  <si>
    <t>Based on CLEOIII</t>
  </si>
  <si>
    <t>Shipping (per 40 units)</t>
  </si>
  <si>
    <t>A GE lot is 40 units</t>
  </si>
  <si>
    <t>packing</t>
  </si>
  <si>
    <t>carrier</t>
  </si>
  <si>
    <t>subtotal</t>
  </si>
  <si>
    <t>Total/unit</t>
  </si>
  <si>
    <t>Adjust for shipping 40 units and number of times shipped</t>
  </si>
  <si>
    <t>GRAND TOTAL/UNIT</t>
  </si>
  <si>
    <t>per unit cost</t>
  </si>
  <si>
    <t>Probe/burn-in</t>
  </si>
  <si>
    <t>In house - time based on CLEOIII</t>
  </si>
  <si>
    <t>In house - after component mounting</t>
  </si>
  <si>
    <t>Outside vendor - based on quote</t>
  </si>
  <si>
    <t>Last modified Febuary 17, 1999</t>
  </si>
  <si>
    <t>Created by R. Boyd Febuary 17, 1999</t>
  </si>
  <si>
    <t>Quoted $23/flex, didn't include testing, cutting, mounting, coverlays</t>
  </si>
  <si>
    <t>Shipped in four lots</t>
  </si>
  <si>
    <t>Created February 17, 1999</t>
  </si>
  <si>
    <t>Last Update: February 17, 1999</t>
  </si>
  <si>
    <t>Fab - tested, singulated, mounted</t>
  </si>
  <si>
    <t>Wire bond FE's (with repair)</t>
  </si>
  <si>
    <t>Zero shipping losses in CleoIII, Si3: &gt;500 flex, ~500 detectors</t>
  </si>
  <si>
    <t>Cut (from CLEOIII)</t>
  </si>
  <si>
    <t>Wire bond MCC (from CLEOIII)</t>
  </si>
  <si>
    <t>Last Update: February 17, 1998</t>
  </si>
  <si>
    <t>membrane box</t>
  </si>
  <si>
    <t>Adjust for shipping in 4 batches and number of times shipped</t>
  </si>
  <si>
    <t>Shipping</t>
  </si>
  <si>
    <t>MCM-D costs are fixed at the moment.</t>
  </si>
  <si>
    <t>Created: February 17, 1999</t>
  </si>
  <si>
    <t>Flip chip modules</t>
  </si>
  <si>
    <t>Detectors/wafer(flex/MCMD)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</si>
</sst>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.0"/>
    <numFmt numFmtId="173" formatCode="0.0%"/>
    <numFmt numFmtId="174" formatCode="0.0000"/>
    <numFmt numFmtId="175" formatCode="0.000"/>
    <numFmt numFmtId="176" formatCode="0.00000"/>
    <numFmt numFmtId="177" formatCode="0.000000"/>
  </numFmts>
  <fonts count="6">
    <font>
      <sz val="10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44" fontId="2" fillId="0" borderId="3" xfId="17" applyFont="1" applyBorder="1" applyAlignment="1">
      <alignment/>
    </xf>
    <xf numFmtId="0" fontId="0" fillId="0" borderId="4" xfId="0" applyBorder="1" applyAlignment="1">
      <alignment horizontal="center"/>
    </xf>
    <xf numFmtId="9" fontId="0" fillId="0" borderId="3" xfId="19" applyBorder="1" applyAlignment="1">
      <alignment/>
    </xf>
    <xf numFmtId="0" fontId="0" fillId="0" borderId="4" xfId="0" applyBorder="1" applyAlignment="1">
      <alignment/>
    </xf>
    <xf numFmtId="9" fontId="0" fillId="0" borderId="3" xfId="19" applyFont="1" applyBorder="1" applyAlignment="1">
      <alignment/>
    </xf>
    <xf numFmtId="9" fontId="0" fillId="0" borderId="4" xfId="19" applyBorder="1" applyAlignment="1">
      <alignment horizontal="center"/>
    </xf>
    <xf numFmtId="9" fontId="0" fillId="0" borderId="5" xfId="19" applyBorder="1" applyAlignment="1">
      <alignment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3" xfId="19" applyBorder="1" applyAlignment="1">
      <alignment/>
    </xf>
    <xf numFmtId="9" fontId="0" fillId="0" borderId="3" xfId="19" applyFont="1" applyBorder="1" applyAlignment="1">
      <alignment/>
    </xf>
    <xf numFmtId="9" fontId="0" fillId="0" borderId="4" xfId="19" applyBorder="1" applyAlignment="1">
      <alignment horizontal="center"/>
    </xf>
    <xf numFmtId="9" fontId="0" fillId="0" borderId="5" xfId="19" applyBorder="1" applyAlignment="1">
      <alignment/>
    </xf>
    <xf numFmtId="9" fontId="0" fillId="0" borderId="0" xfId="19" applyAlignment="1">
      <alignment/>
    </xf>
    <xf numFmtId="173" fontId="0" fillId="0" borderId="3" xfId="19" applyNumberFormat="1" applyBorder="1" applyAlignment="1">
      <alignment/>
    </xf>
    <xf numFmtId="173" fontId="0" fillId="0" borderId="3" xfId="19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3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73" fontId="0" fillId="0" borderId="0" xfId="19" applyNumberFormat="1" applyAlignment="1">
      <alignment/>
    </xf>
    <xf numFmtId="2" fontId="1" fillId="0" borderId="0" xfId="0" applyNumberFormat="1" applyFont="1" applyAlignment="1">
      <alignment horizontal="center"/>
    </xf>
    <xf numFmtId="173" fontId="0" fillId="0" borderId="0" xfId="19" applyNumberForma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6</xdr:col>
      <xdr:colOff>0</xdr:colOff>
      <xdr:row>12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7019925" cy="145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6</xdr:col>
      <xdr:colOff>0</xdr:colOff>
      <xdr:row>22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2124075"/>
          <a:ext cx="701992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6</xdr:col>
      <xdr:colOff>0</xdr:colOff>
      <xdr:row>15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7086600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0</xdr:colOff>
      <xdr:row>25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2609850"/>
          <a:ext cx="7086600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3" max="3" width="11.421875" style="0" bestFit="1" customWidth="1"/>
    <col min="6" max="6" width="11.421875" style="0" bestFit="1" customWidth="1"/>
  </cols>
  <sheetData>
    <row r="1" ht="12.75">
      <c r="A1" t="s">
        <v>46</v>
      </c>
    </row>
    <row r="2" ht="12.75">
      <c r="A2" t="s">
        <v>73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6" ht="12.75">
      <c r="A16" t="s">
        <v>61</v>
      </c>
    </row>
    <row r="17" spans="4:6" ht="12.75">
      <c r="D17" s="27" t="s">
        <v>4</v>
      </c>
      <c r="E17" s="27" t="s">
        <v>32</v>
      </c>
      <c r="F17" s="27" t="s">
        <v>68</v>
      </c>
    </row>
    <row r="18" spans="1:6" ht="12.75">
      <c r="A18" s="27" t="s">
        <v>62</v>
      </c>
      <c r="B18" s="27" t="s">
        <v>64</v>
      </c>
      <c r="C18" s="27" t="s">
        <v>65</v>
      </c>
      <c r="D18" s="27" t="s">
        <v>67</v>
      </c>
      <c r="E18" s="27" t="s">
        <v>67</v>
      </c>
      <c r="F18" s="27" t="s">
        <v>69</v>
      </c>
    </row>
    <row r="19" spans="1:6" ht="12.75">
      <c r="A19" s="1" t="s">
        <v>63</v>
      </c>
      <c r="B19" s="1" t="s">
        <v>11</v>
      </c>
      <c r="C19" s="1" t="s">
        <v>66</v>
      </c>
      <c r="D19" s="1" t="s">
        <v>11</v>
      </c>
      <c r="E19" s="1" t="s">
        <v>11</v>
      </c>
      <c r="F19" s="1" t="s">
        <v>45</v>
      </c>
    </row>
    <row r="20" spans="1:6" ht="12.75">
      <c r="A20" s="27">
        <v>30</v>
      </c>
      <c r="B20" s="27">
        <v>100</v>
      </c>
      <c r="C20" s="28" t="s">
        <v>70</v>
      </c>
      <c r="D20" s="27">
        <v>71</v>
      </c>
      <c r="E20" s="27">
        <v>75</v>
      </c>
      <c r="F20" s="27">
        <v>1995</v>
      </c>
    </row>
    <row r="21" spans="1:6" ht="12.75">
      <c r="A21" s="27">
        <v>30</v>
      </c>
      <c r="B21" s="27">
        <v>100</v>
      </c>
      <c r="C21" s="28" t="s">
        <v>71</v>
      </c>
      <c r="D21" s="27">
        <v>71</v>
      </c>
      <c r="E21" s="27">
        <v>75</v>
      </c>
      <c r="F21" s="27">
        <v>2918</v>
      </c>
    </row>
    <row r="22" spans="1:6" ht="12.75">
      <c r="A22" s="27">
        <v>30</v>
      </c>
      <c r="B22" s="27">
        <v>100</v>
      </c>
      <c r="C22" s="28" t="s">
        <v>70</v>
      </c>
      <c r="D22" s="27">
        <v>61</v>
      </c>
      <c r="E22" s="27">
        <v>75</v>
      </c>
      <c r="F22" s="27">
        <v>0</v>
      </c>
    </row>
    <row r="23" spans="1:6" ht="12.75">
      <c r="A23" s="27">
        <v>60</v>
      </c>
      <c r="B23" s="27">
        <v>100</v>
      </c>
      <c r="C23" s="28" t="s">
        <v>70</v>
      </c>
      <c r="D23" s="27">
        <v>71</v>
      </c>
      <c r="E23" s="27">
        <v>75</v>
      </c>
      <c r="F23" s="27">
        <v>1891</v>
      </c>
    </row>
    <row r="24" spans="1:6" ht="12.75">
      <c r="A24" s="27">
        <v>60</v>
      </c>
      <c r="B24" s="27">
        <v>100</v>
      </c>
      <c r="C24" s="28" t="s">
        <v>71</v>
      </c>
      <c r="D24" s="27">
        <v>71</v>
      </c>
      <c r="E24" s="27">
        <v>75</v>
      </c>
      <c r="F24" s="27">
        <v>2813</v>
      </c>
    </row>
    <row r="25" spans="1:6" ht="12.75">
      <c r="A25" s="27">
        <v>60</v>
      </c>
      <c r="B25" s="27">
        <v>100</v>
      </c>
      <c r="C25" s="28" t="s">
        <v>70</v>
      </c>
      <c r="D25" s="27">
        <v>54</v>
      </c>
      <c r="E25" s="27">
        <v>75</v>
      </c>
      <c r="F25" s="27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75" zoomScaleNormal="75" workbookViewId="0" topLeftCell="A9">
      <selection activeCell="D21" sqref="D21"/>
    </sheetView>
  </sheetViews>
  <sheetFormatPr defaultColWidth="9.140625" defaultRowHeight="12.75"/>
  <cols>
    <col min="2" max="2" width="24.421875" style="0" customWidth="1"/>
    <col min="4" max="4" width="20.28125" style="0" customWidth="1"/>
    <col min="6" max="6" width="28.57421875" style="0" customWidth="1"/>
  </cols>
  <sheetData>
    <row r="1" ht="12.75">
      <c r="A1" t="s">
        <v>115</v>
      </c>
    </row>
    <row r="2" ht="12.75">
      <c r="A2" t="s">
        <v>116</v>
      </c>
    </row>
    <row r="4" spans="1:6" ht="12.75">
      <c r="A4" s="3"/>
      <c r="B4" s="4" t="s">
        <v>1</v>
      </c>
      <c r="C4" s="3"/>
      <c r="D4" s="4" t="s">
        <v>3</v>
      </c>
      <c r="E4" s="3"/>
      <c r="F4" s="4" t="s">
        <v>4</v>
      </c>
    </row>
    <row r="5" spans="1:6" ht="15">
      <c r="A5" s="5" t="s">
        <v>11</v>
      </c>
      <c r="B5" s="6" t="s">
        <v>2</v>
      </c>
      <c r="C5" s="13" t="s">
        <v>11</v>
      </c>
      <c r="D5" s="6" t="s">
        <v>2</v>
      </c>
      <c r="E5" s="13" t="s">
        <v>11</v>
      </c>
      <c r="F5" s="6" t="s">
        <v>2</v>
      </c>
    </row>
    <row r="6" spans="1:6" ht="12.75">
      <c r="A6" s="26">
        <v>0.3</v>
      </c>
      <c r="B6" s="8" t="s">
        <v>5</v>
      </c>
      <c r="C6" s="26">
        <v>1</v>
      </c>
      <c r="D6" s="8" t="s">
        <v>5</v>
      </c>
      <c r="E6" s="26">
        <v>1</v>
      </c>
      <c r="F6" s="8" t="s">
        <v>117</v>
      </c>
    </row>
    <row r="7" spans="1:6" ht="12.75">
      <c r="A7" s="26">
        <f>Shipping_loss</f>
        <v>0.999</v>
      </c>
      <c r="B7" s="8" t="s">
        <v>6</v>
      </c>
      <c r="C7" s="26">
        <f>Shipping_loss</f>
        <v>0.999</v>
      </c>
      <c r="D7" s="8" t="s">
        <v>6</v>
      </c>
      <c r="E7" s="26">
        <f>Shipping_loss</f>
        <v>0.999</v>
      </c>
      <c r="F7" s="8" t="s">
        <v>6</v>
      </c>
    </row>
    <row r="8" spans="1:6" ht="12.75">
      <c r="A8" s="26">
        <v>0.97</v>
      </c>
      <c r="B8" s="8" t="s">
        <v>7</v>
      </c>
      <c r="C8" s="26">
        <v>0.9</v>
      </c>
      <c r="D8" s="8" t="s">
        <v>7</v>
      </c>
      <c r="E8" s="26">
        <v>0.999</v>
      </c>
      <c r="F8" s="8" t="s">
        <v>121</v>
      </c>
    </row>
    <row r="9" spans="1:6" ht="12.75">
      <c r="A9" s="26">
        <f>Shipping_loss</f>
        <v>0.999</v>
      </c>
      <c r="B9" s="8" t="s">
        <v>6</v>
      </c>
      <c r="C9" s="26">
        <f>Shipping_loss</f>
        <v>0.999</v>
      </c>
      <c r="D9" s="8" t="s">
        <v>6</v>
      </c>
      <c r="E9" s="26">
        <v>0.97</v>
      </c>
      <c r="F9" s="8" t="s">
        <v>107</v>
      </c>
    </row>
    <row r="10" spans="1:6" ht="12.75">
      <c r="A10" s="26">
        <v>0.97</v>
      </c>
      <c r="B10" s="8" t="s">
        <v>8</v>
      </c>
      <c r="C10" s="26">
        <v>0.97</v>
      </c>
      <c r="D10" s="8" t="s">
        <v>8</v>
      </c>
      <c r="E10" s="26">
        <f>Shipping_loss</f>
        <v>0.999</v>
      </c>
      <c r="F10" s="8" t="s">
        <v>6</v>
      </c>
    </row>
    <row r="11" spans="1:6" ht="12.75">
      <c r="A11" s="26">
        <f>Shipping_loss</f>
        <v>0.999</v>
      </c>
      <c r="B11" s="8" t="s">
        <v>6</v>
      </c>
      <c r="C11" s="26">
        <f>Shipping_loss</f>
        <v>0.999</v>
      </c>
      <c r="D11" t="s">
        <v>6</v>
      </c>
      <c r="E11" s="7"/>
      <c r="F11" s="8"/>
    </row>
    <row r="12" spans="1:6" ht="12.75">
      <c r="A12" s="26">
        <v>0.995</v>
      </c>
      <c r="B12" s="8" t="s">
        <v>13</v>
      </c>
      <c r="C12" s="26">
        <f>A12^16</f>
        <v>0.9229311239742364</v>
      </c>
      <c r="D12" s="8" t="s">
        <v>13</v>
      </c>
      <c r="E12" s="14"/>
      <c r="F12" s="8"/>
    </row>
    <row r="13" spans="1:6" ht="12.75">
      <c r="A13" s="26">
        <f>Shipping_loss</f>
        <v>0.999</v>
      </c>
      <c r="B13" s="8" t="s">
        <v>6</v>
      </c>
      <c r="C13" s="26">
        <f>Shipping_loss</f>
        <v>0.999</v>
      </c>
      <c r="D13" s="8" t="s">
        <v>6</v>
      </c>
      <c r="E13" s="14"/>
      <c r="F13" s="10">
        <f>PRODUCT(E6:E10)</f>
        <v>0.96709290903</v>
      </c>
    </row>
    <row r="14" spans="1:6" ht="12.75">
      <c r="A14" s="26">
        <v>0.95</v>
      </c>
      <c r="B14" s="8" t="s">
        <v>77</v>
      </c>
      <c r="C14" s="26">
        <v>0.97</v>
      </c>
      <c r="D14" s="8" t="s">
        <v>9</v>
      </c>
      <c r="E14" s="15"/>
      <c r="F14" s="12" t="s">
        <v>18</v>
      </c>
    </row>
    <row r="15" spans="1:4" ht="12.75">
      <c r="A15" s="26">
        <f>Shipping_loss</f>
        <v>0.999</v>
      </c>
      <c r="B15" s="8" t="s">
        <v>6</v>
      </c>
      <c r="C15" s="26">
        <v>0.99</v>
      </c>
      <c r="D15" s="8" t="s">
        <v>10</v>
      </c>
    </row>
    <row r="16" spans="1:4" ht="12.75">
      <c r="A16" s="26">
        <v>0.97</v>
      </c>
      <c r="B16" s="8" t="s">
        <v>9</v>
      </c>
      <c r="C16" s="26">
        <f>Shipping_loss</f>
        <v>0.999</v>
      </c>
      <c r="D16" s="8" t="s">
        <v>6</v>
      </c>
    </row>
    <row r="17" spans="1:4" ht="12.75">
      <c r="A17" s="26">
        <v>0.97</v>
      </c>
      <c r="B17" s="8" t="s">
        <v>10</v>
      </c>
      <c r="C17" s="25">
        <v>0.99</v>
      </c>
      <c r="D17" s="8" t="s">
        <v>22</v>
      </c>
    </row>
    <row r="18" spans="1:4" ht="12.75">
      <c r="A18" s="26">
        <f>Shipping_loss</f>
        <v>0.999</v>
      </c>
      <c r="B18" s="8" t="s">
        <v>6</v>
      </c>
      <c r="C18" s="7"/>
      <c r="D18" s="8"/>
    </row>
    <row r="19" spans="1:4" ht="12.75">
      <c r="A19" s="25">
        <v>0.99</v>
      </c>
      <c r="B19" s="8" t="s">
        <v>22</v>
      </c>
      <c r="C19" s="14"/>
      <c r="D19" s="8"/>
    </row>
    <row r="20" spans="1:4" ht="12.75">
      <c r="A20" s="9" t="s">
        <v>11</v>
      </c>
      <c r="B20" s="10">
        <f>PRODUCT(A6:A19)</f>
        <v>0.24704894395232402</v>
      </c>
      <c r="C20" s="14"/>
      <c r="D20" s="10">
        <f>PRODUCT(C6:C17)</f>
        <v>0.7621721934416945</v>
      </c>
    </row>
    <row r="21" spans="1:4" ht="12.75">
      <c r="A21" s="11"/>
      <c r="B21" s="12" t="s">
        <v>16</v>
      </c>
      <c r="C21" s="15"/>
      <c r="D21" s="12" t="s">
        <v>17</v>
      </c>
    </row>
    <row r="22" ht="12.75">
      <c r="A22" s="2"/>
    </row>
    <row r="23" spans="1:4" ht="12.75">
      <c r="A23" s="2"/>
      <c r="C23" s="16" t="s">
        <v>11</v>
      </c>
      <c r="D23" s="4" t="s">
        <v>19</v>
      </c>
    </row>
    <row r="24" spans="1:4" ht="12.75">
      <c r="A24" s="2"/>
      <c r="C24" s="26">
        <v>0.99</v>
      </c>
      <c r="D24" s="8" t="s">
        <v>20</v>
      </c>
    </row>
    <row r="25" spans="1:4" ht="12.75">
      <c r="A25" s="2"/>
      <c r="C25" s="26">
        <f>C24^16</f>
        <v>0.8514577710948754</v>
      </c>
      <c r="D25" s="8" t="s">
        <v>21</v>
      </c>
    </row>
    <row r="26" spans="1:4" ht="12.75">
      <c r="A26" s="2"/>
      <c r="C26" s="26">
        <f>Shipping_loss</f>
        <v>0.999</v>
      </c>
      <c r="D26" s="8" t="s">
        <v>6</v>
      </c>
    </row>
    <row r="27" spans="1:4" ht="12.75">
      <c r="A27" s="2"/>
      <c r="C27" s="26">
        <v>0.99</v>
      </c>
      <c r="D27" s="8" t="s">
        <v>22</v>
      </c>
    </row>
    <row r="28" spans="1:4" ht="12.75">
      <c r="A28" s="2"/>
      <c r="C28" s="26">
        <f>Shipping_loss</f>
        <v>0.999</v>
      </c>
      <c r="D28" s="8" t="s">
        <v>6</v>
      </c>
    </row>
    <row r="29" spans="1:4" ht="12.75">
      <c r="A29" s="2"/>
      <c r="C29" s="26">
        <v>0.99</v>
      </c>
      <c r="D29" s="8" t="s">
        <v>76</v>
      </c>
    </row>
    <row r="30" spans="1:4" ht="12.75">
      <c r="A30" s="2"/>
      <c r="C30" s="26">
        <f>Shipping_loss</f>
        <v>0.999</v>
      </c>
      <c r="D30" s="8" t="s">
        <v>6</v>
      </c>
    </row>
    <row r="31" spans="1:4" ht="12.75">
      <c r="A31" s="2"/>
      <c r="C31" s="26">
        <v>0.98</v>
      </c>
      <c r="D31" s="8" t="s">
        <v>23</v>
      </c>
    </row>
    <row r="32" spans="1:4" ht="12.75">
      <c r="A32" s="2"/>
      <c r="C32" s="26">
        <v>0.95</v>
      </c>
      <c r="D32" s="8" t="s">
        <v>24</v>
      </c>
    </row>
    <row r="33" spans="1:4" ht="12.75">
      <c r="A33" s="2"/>
      <c r="C33" s="26">
        <v>0.98</v>
      </c>
      <c r="D33" s="8" t="s">
        <v>25</v>
      </c>
    </row>
    <row r="34" spans="1:4" ht="12.75">
      <c r="A34" s="2"/>
      <c r="C34" s="26">
        <f>Shipping_loss</f>
        <v>0.999</v>
      </c>
      <c r="D34" s="8" t="s">
        <v>6</v>
      </c>
    </row>
    <row r="35" spans="1:4" ht="12.75">
      <c r="A35" s="2"/>
      <c r="C35" s="26">
        <v>0.95</v>
      </c>
      <c r="D35" s="8" t="s">
        <v>26</v>
      </c>
    </row>
    <row r="36" spans="1:4" ht="12.75">
      <c r="A36" s="2"/>
      <c r="C36" s="26">
        <f>Shipping_loss</f>
        <v>0.999</v>
      </c>
      <c r="D36" s="8" t="s">
        <v>6</v>
      </c>
    </row>
    <row r="37" spans="1:4" ht="12.75">
      <c r="A37" s="2"/>
      <c r="C37" s="14"/>
      <c r="D37" s="10">
        <f>PRODUCT(C24:C36)</f>
        <v>0.7125174426016327</v>
      </c>
    </row>
    <row r="38" spans="3:4" ht="12.75">
      <c r="C38" s="17"/>
      <c r="D38" s="12" t="s">
        <v>27</v>
      </c>
    </row>
    <row r="39" spans="1:2" ht="12.75">
      <c r="A39" s="33">
        <v>0.999</v>
      </c>
      <c r="B39" t="s">
        <v>12</v>
      </c>
    </row>
    <row r="40" ht="12.75">
      <c r="B40" t="s">
        <v>119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&amp;C&amp;22&amp;A</oddHeader>
    <oddFooter>&amp;Cnewyield2.xls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75" zoomScaleNormal="75" workbookViewId="0" topLeftCell="A9">
      <selection activeCell="A4" sqref="A4:F38"/>
    </sheetView>
  </sheetViews>
  <sheetFormatPr defaultColWidth="9.140625" defaultRowHeight="12.75"/>
  <cols>
    <col min="2" max="2" width="19.57421875" style="0" bestFit="1" customWidth="1"/>
    <col min="3" max="3" width="8.00390625" style="0" bestFit="1" customWidth="1"/>
    <col min="4" max="4" width="22.7109375" style="0" customWidth="1"/>
    <col min="6" max="6" width="25.28125" style="0" customWidth="1"/>
  </cols>
  <sheetData>
    <row r="1" ht="12.75">
      <c r="A1" t="s">
        <v>115</v>
      </c>
    </row>
    <row r="2" ht="12.75">
      <c r="A2" t="s">
        <v>116</v>
      </c>
    </row>
    <row r="4" spans="1:6" ht="12.75">
      <c r="A4" s="3"/>
      <c r="B4" s="4" t="s">
        <v>1</v>
      </c>
      <c r="C4" s="3"/>
      <c r="D4" s="4" t="s">
        <v>3</v>
      </c>
      <c r="E4" s="3"/>
      <c r="F4" s="4" t="s">
        <v>4</v>
      </c>
    </row>
    <row r="5" spans="1:6" ht="15">
      <c r="A5" s="5" t="s">
        <v>11</v>
      </c>
      <c r="B5" s="6" t="s">
        <v>2</v>
      </c>
      <c r="C5" s="13" t="s">
        <v>11</v>
      </c>
      <c r="D5" s="6" t="s">
        <v>2</v>
      </c>
      <c r="E5" s="13" t="s">
        <v>11</v>
      </c>
      <c r="F5" s="6" t="s">
        <v>2</v>
      </c>
    </row>
    <row r="6" spans="1:6" ht="12.75">
      <c r="A6" s="26">
        <v>0.3</v>
      </c>
      <c r="B6" s="8" t="s">
        <v>5</v>
      </c>
      <c r="C6" s="26">
        <v>1</v>
      </c>
      <c r="D6" s="8" t="s">
        <v>5</v>
      </c>
      <c r="E6" s="26">
        <v>0.8</v>
      </c>
      <c r="F6" s="8" t="s">
        <v>5</v>
      </c>
    </row>
    <row r="7" spans="1:6" ht="12.75">
      <c r="A7" s="26">
        <f>Shipping_loss</f>
        <v>0.999</v>
      </c>
      <c r="B7" s="8" t="s">
        <v>6</v>
      </c>
      <c r="C7" s="26">
        <f>Shipping_loss</f>
        <v>0.999</v>
      </c>
      <c r="D7" s="8" t="s">
        <v>6</v>
      </c>
      <c r="E7" s="26">
        <v>0.999</v>
      </c>
      <c r="F7" s="8" t="s">
        <v>6</v>
      </c>
    </row>
    <row r="8" spans="1:6" ht="12.75">
      <c r="A8" s="26">
        <v>0.97</v>
      </c>
      <c r="B8" s="8" t="s">
        <v>7</v>
      </c>
      <c r="C8" s="26">
        <v>0.9</v>
      </c>
      <c r="D8" s="8" t="s">
        <v>7</v>
      </c>
      <c r="E8" s="26">
        <v>0.986</v>
      </c>
      <c r="F8" s="8" t="s">
        <v>120</v>
      </c>
    </row>
    <row r="9" spans="1:6" ht="12.75">
      <c r="A9" s="26">
        <f>Shipping_loss</f>
        <v>0.999</v>
      </c>
      <c r="B9" s="8" t="s">
        <v>6</v>
      </c>
      <c r="C9" s="26">
        <f>Shipping_loss</f>
        <v>0.999</v>
      </c>
      <c r="D9" s="8" t="s">
        <v>6</v>
      </c>
      <c r="E9" s="26">
        <v>0.999</v>
      </c>
      <c r="F9" s="8" t="s">
        <v>6</v>
      </c>
    </row>
    <row r="10" spans="1:6" ht="12.75">
      <c r="A10" s="26">
        <v>0.97</v>
      </c>
      <c r="B10" s="8" t="s">
        <v>8</v>
      </c>
      <c r="C10" s="26">
        <v>0.97</v>
      </c>
      <c r="D10" s="8" t="s">
        <v>8</v>
      </c>
      <c r="E10" s="26">
        <v>1</v>
      </c>
      <c r="F10" s="8" t="s">
        <v>7</v>
      </c>
    </row>
    <row r="11" spans="1:6" ht="12.75">
      <c r="A11" s="26">
        <f>Shipping_loss</f>
        <v>0.999</v>
      </c>
      <c r="B11" s="8" t="s">
        <v>6</v>
      </c>
      <c r="C11" s="26">
        <f>Shipping_loss</f>
        <v>0.999</v>
      </c>
      <c r="D11" t="s">
        <v>6</v>
      </c>
      <c r="E11" s="26">
        <f>Shipping_loss</f>
        <v>0.999</v>
      </c>
      <c r="F11" s="8" t="s">
        <v>6</v>
      </c>
    </row>
    <row r="12" spans="1:6" ht="12.75">
      <c r="A12" s="26">
        <v>0.995</v>
      </c>
      <c r="B12" s="8" t="s">
        <v>13</v>
      </c>
      <c r="C12" s="26">
        <f>A12^16</f>
        <v>0.9229311239742364</v>
      </c>
      <c r="D12" s="8" t="s">
        <v>13</v>
      </c>
      <c r="E12" s="26">
        <v>0.95</v>
      </c>
      <c r="F12" s="8" t="s">
        <v>15</v>
      </c>
    </row>
    <row r="13" spans="1:6" ht="12.75">
      <c r="A13" s="26">
        <f>Shipping_loss</f>
        <v>0.999</v>
      </c>
      <c r="B13" s="8" t="s">
        <v>6</v>
      </c>
      <c r="C13" s="26">
        <f>Shipping_loss</f>
        <v>0.999</v>
      </c>
      <c r="D13" s="8" t="s">
        <v>6</v>
      </c>
      <c r="E13" s="26">
        <f>Shipping_loss</f>
        <v>0.999</v>
      </c>
      <c r="F13" s="8" t="s">
        <v>6</v>
      </c>
    </row>
    <row r="14" spans="1:6" ht="12.75">
      <c r="A14" s="26">
        <v>0.95</v>
      </c>
      <c r="B14" s="8" t="s">
        <v>77</v>
      </c>
      <c r="C14" s="26">
        <v>0.97</v>
      </c>
      <c r="D14" s="8" t="s">
        <v>9</v>
      </c>
      <c r="E14" s="26">
        <v>0.999</v>
      </c>
      <c r="F14" s="8" t="s">
        <v>121</v>
      </c>
    </row>
    <row r="15" spans="1:6" ht="12.75">
      <c r="A15" s="26">
        <f>Shipping_loss</f>
        <v>0.999</v>
      </c>
      <c r="B15" s="8" t="s">
        <v>6</v>
      </c>
      <c r="C15" s="26">
        <v>0.99</v>
      </c>
      <c r="D15" s="8" t="s">
        <v>10</v>
      </c>
      <c r="E15" s="26">
        <v>0.97</v>
      </c>
      <c r="F15" s="8" t="s">
        <v>107</v>
      </c>
    </row>
    <row r="16" spans="1:6" ht="12.75">
      <c r="A16" s="26">
        <v>0.97</v>
      </c>
      <c r="B16" s="8" t="s">
        <v>9</v>
      </c>
      <c r="C16" s="26">
        <f>Shipping_loss</f>
        <v>0.999</v>
      </c>
      <c r="D16" s="8" t="s">
        <v>6</v>
      </c>
      <c r="E16" s="26">
        <f>Shipping_loss</f>
        <v>0.999</v>
      </c>
      <c r="F16" s="8" t="s">
        <v>6</v>
      </c>
    </row>
    <row r="17" spans="1:6" ht="12.75">
      <c r="A17" s="26">
        <v>0.97</v>
      </c>
      <c r="B17" s="8" t="s">
        <v>10</v>
      </c>
      <c r="C17" s="25">
        <v>0.99</v>
      </c>
      <c r="D17" s="8" t="s">
        <v>22</v>
      </c>
      <c r="E17" s="7"/>
      <c r="F17" s="8"/>
    </row>
    <row r="18" spans="1:6" ht="12.75">
      <c r="A18" s="26">
        <f>Shipping_loss</f>
        <v>0.999</v>
      </c>
      <c r="B18" s="8" t="s">
        <v>6</v>
      </c>
      <c r="C18" s="7"/>
      <c r="D18" s="8"/>
      <c r="E18" s="14"/>
      <c r="F18" s="8"/>
    </row>
    <row r="19" spans="1:6" ht="12.75">
      <c r="A19" s="25">
        <v>0.99</v>
      </c>
      <c r="B19" s="8" t="s">
        <v>22</v>
      </c>
      <c r="C19" s="14"/>
      <c r="D19" s="8"/>
      <c r="E19" s="14"/>
      <c r="F19" s="10">
        <f>PRODUCT(E6:E16)</f>
        <v>0.7225288134613148</v>
      </c>
    </row>
    <row r="20" spans="1:6" ht="12.75">
      <c r="A20" s="9" t="s">
        <v>11</v>
      </c>
      <c r="B20" s="10">
        <f>PRODUCT(A6:A19)</f>
        <v>0.24704894395232402</v>
      </c>
      <c r="C20" s="14"/>
      <c r="D20" s="10">
        <f>PRODUCT(C6:C17)</f>
        <v>0.7621721934416945</v>
      </c>
      <c r="E20" s="15"/>
      <c r="F20" s="12" t="s">
        <v>18</v>
      </c>
    </row>
    <row r="21" spans="1:4" ht="12.75">
      <c r="A21" s="11"/>
      <c r="B21" s="12" t="s">
        <v>16</v>
      </c>
      <c r="C21" s="15"/>
      <c r="D21" s="12" t="s">
        <v>17</v>
      </c>
    </row>
    <row r="22" ht="12.75">
      <c r="A22" s="2"/>
    </row>
    <row r="23" spans="1:4" ht="12.75">
      <c r="A23" s="2"/>
      <c r="C23" s="16" t="s">
        <v>11</v>
      </c>
      <c r="D23" s="4" t="s">
        <v>19</v>
      </c>
    </row>
    <row r="24" spans="1:4" ht="12.75">
      <c r="A24" s="2"/>
      <c r="C24" s="26">
        <v>0.99</v>
      </c>
      <c r="D24" s="8" t="s">
        <v>20</v>
      </c>
    </row>
    <row r="25" spans="1:4" ht="12.75">
      <c r="A25" s="2"/>
      <c r="C25" s="26">
        <f>C24^16</f>
        <v>0.8514577710948754</v>
      </c>
      <c r="D25" s="8" t="s">
        <v>21</v>
      </c>
    </row>
    <row r="26" spans="1:4" ht="12.75">
      <c r="A26" s="2"/>
      <c r="C26" s="26">
        <f>Shipping_loss</f>
        <v>0.999</v>
      </c>
      <c r="D26" s="8" t="s">
        <v>6</v>
      </c>
    </row>
    <row r="27" spans="1:4" ht="12.75">
      <c r="A27" s="2"/>
      <c r="C27" s="26">
        <v>0.99</v>
      </c>
      <c r="D27" s="8" t="s">
        <v>22</v>
      </c>
    </row>
    <row r="28" spans="1:4" ht="12.75">
      <c r="A28" s="2"/>
      <c r="C28" s="26">
        <f>Shipping_loss</f>
        <v>0.999</v>
      </c>
      <c r="D28" s="8" t="s">
        <v>6</v>
      </c>
    </row>
    <row r="29" spans="1:4" ht="12.75">
      <c r="A29" s="2"/>
      <c r="C29" s="26">
        <v>0.99</v>
      </c>
      <c r="D29" s="8" t="s">
        <v>76</v>
      </c>
    </row>
    <row r="30" spans="1:4" ht="12.75">
      <c r="A30" s="2"/>
      <c r="C30" s="26">
        <f>Shipping_loss</f>
        <v>0.999</v>
      </c>
      <c r="D30" s="8" t="s">
        <v>6</v>
      </c>
    </row>
    <row r="31" spans="1:4" ht="12.75">
      <c r="A31" s="2"/>
      <c r="C31" s="26">
        <v>0.98</v>
      </c>
      <c r="D31" s="8" t="s">
        <v>23</v>
      </c>
    </row>
    <row r="32" spans="1:4" ht="12.75">
      <c r="A32" s="2"/>
      <c r="C32" s="26">
        <v>0.95</v>
      </c>
      <c r="D32" s="8" t="s">
        <v>118</v>
      </c>
    </row>
    <row r="33" spans="1:4" ht="12.75">
      <c r="A33" s="2"/>
      <c r="C33" s="26">
        <v>0.98</v>
      </c>
      <c r="D33" s="8" t="s">
        <v>25</v>
      </c>
    </row>
    <row r="34" spans="1:4" ht="12.75">
      <c r="A34" s="2"/>
      <c r="C34" s="26">
        <f>Shipping_loss</f>
        <v>0.999</v>
      </c>
      <c r="D34" s="8" t="s">
        <v>6</v>
      </c>
    </row>
    <row r="35" spans="1:4" ht="12.75">
      <c r="A35" s="2"/>
      <c r="C35" s="26">
        <v>0.95</v>
      </c>
      <c r="D35" s="8" t="s">
        <v>26</v>
      </c>
    </row>
    <row r="36" spans="1:4" ht="12.75">
      <c r="A36" s="2"/>
      <c r="C36" s="26">
        <f>Shipping_loss</f>
        <v>0.999</v>
      </c>
      <c r="D36" s="8" t="s">
        <v>6</v>
      </c>
    </row>
    <row r="37" spans="1:4" ht="12.75">
      <c r="A37" s="2"/>
      <c r="C37" s="14"/>
      <c r="D37" s="10">
        <f>PRODUCT(C24:C36)</f>
        <v>0.7125174426016327</v>
      </c>
    </row>
    <row r="38" spans="3:4" ht="12.75">
      <c r="C38" s="17"/>
      <c r="D38" s="12" t="s">
        <v>27</v>
      </c>
    </row>
    <row r="39" spans="1:2" ht="12.75">
      <c r="A39" s="33">
        <v>0.999</v>
      </c>
      <c r="B39" t="s">
        <v>12</v>
      </c>
    </row>
    <row r="40" ht="12.75">
      <c r="B40" t="s">
        <v>119</v>
      </c>
    </row>
  </sheetData>
  <printOptions/>
  <pageMargins left="0.75" right="0.75" top="1" bottom="1" header="0.5" footer="0.5"/>
  <pageSetup fitToHeight="1" fitToWidth="1" horizontalDpi="600" verticalDpi="600" orientation="portrait" paperSize="9" scale="93" r:id="rId1"/>
  <headerFooter alignWithMargins="0">
    <oddHeader>&amp;C&amp;22&amp;A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75" zoomScaleNormal="75" workbookViewId="0" topLeftCell="A6">
      <selection activeCell="E6" sqref="E6"/>
    </sheetView>
  </sheetViews>
  <sheetFormatPr defaultColWidth="9.140625" defaultRowHeight="12.75"/>
  <cols>
    <col min="2" max="2" width="19.57421875" style="0" bestFit="1" customWidth="1"/>
    <col min="3" max="3" width="8.00390625" style="0" bestFit="1" customWidth="1"/>
    <col min="4" max="4" width="19.57421875" style="0" bestFit="1" customWidth="1"/>
    <col min="6" max="6" width="16.8515625" style="0" bestFit="1" customWidth="1"/>
  </cols>
  <sheetData>
    <row r="1" ht="12.75">
      <c r="A1" t="s">
        <v>0</v>
      </c>
    </row>
    <row r="2" ht="12.75">
      <c r="A2" t="s">
        <v>74</v>
      </c>
    </row>
    <row r="4" spans="1:6" ht="12.75">
      <c r="A4" s="3"/>
      <c r="B4" s="4" t="s">
        <v>1</v>
      </c>
      <c r="C4" s="3"/>
      <c r="D4" s="4" t="s">
        <v>3</v>
      </c>
      <c r="E4" s="3"/>
      <c r="F4" s="4" t="s">
        <v>32</v>
      </c>
    </row>
    <row r="5" spans="1:6" ht="15">
      <c r="A5" s="5" t="s">
        <v>11</v>
      </c>
      <c r="B5" s="6" t="s">
        <v>2</v>
      </c>
      <c r="C5" s="13" t="s">
        <v>11</v>
      </c>
      <c r="D5" s="6" t="s">
        <v>2</v>
      </c>
      <c r="E5" s="13" t="s">
        <v>11</v>
      </c>
      <c r="F5" s="6" t="s">
        <v>2</v>
      </c>
    </row>
    <row r="6" spans="1:6" ht="12.75">
      <c r="A6" s="25">
        <v>0.3</v>
      </c>
      <c r="B6" s="8" t="s">
        <v>5</v>
      </c>
      <c r="C6" s="25">
        <v>1</v>
      </c>
      <c r="D6" s="8" t="s">
        <v>5</v>
      </c>
      <c r="E6" s="25">
        <v>0.67</v>
      </c>
      <c r="F6" s="8" t="s">
        <v>5</v>
      </c>
    </row>
    <row r="7" spans="1:6" ht="12.75">
      <c r="A7" s="25">
        <f>Shipping_loss</f>
        <v>0.999</v>
      </c>
      <c r="B7" s="8" t="s">
        <v>6</v>
      </c>
      <c r="C7" s="25">
        <f>Shipping_loss</f>
        <v>0.999</v>
      </c>
      <c r="D7" s="8" t="s">
        <v>6</v>
      </c>
      <c r="E7" s="25">
        <v>0.95</v>
      </c>
      <c r="F7" s="8" t="s">
        <v>14</v>
      </c>
    </row>
    <row r="8" spans="1:6" ht="12.75">
      <c r="A8" s="25">
        <v>0.97</v>
      </c>
      <c r="B8" s="8" t="s">
        <v>7</v>
      </c>
      <c r="C8" s="25">
        <v>0.9</v>
      </c>
      <c r="D8" s="8" t="s">
        <v>7</v>
      </c>
      <c r="E8" s="25">
        <f>Shipping_loss</f>
        <v>0.999</v>
      </c>
      <c r="F8" s="8" t="s">
        <v>6</v>
      </c>
    </row>
    <row r="9" spans="1:6" ht="12.75">
      <c r="A9" s="25">
        <f>Shipping_loss</f>
        <v>0.999</v>
      </c>
      <c r="B9" s="8" t="s">
        <v>6</v>
      </c>
      <c r="C9" s="25">
        <f>Shipping_loss</f>
        <v>0.999</v>
      </c>
      <c r="D9" s="8" t="s">
        <v>6</v>
      </c>
      <c r="E9" s="29">
        <v>0.95</v>
      </c>
      <c r="F9" s="8" t="s">
        <v>7</v>
      </c>
    </row>
    <row r="10" spans="1:6" ht="12.75">
      <c r="A10" s="25">
        <v>0.97</v>
      </c>
      <c r="B10" s="8" t="s">
        <v>8</v>
      </c>
      <c r="C10" s="25">
        <v>0.97</v>
      </c>
      <c r="D10" s="8" t="s">
        <v>8</v>
      </c>
      <c r="E10" s="25">
        <f>Shipping_loss</f>
        <v>0.999</v>
      </c>
      <c r="F10" s="8" t="s">
        <v>6</v>
      </c>
    </row>
    <row r="11" spans="1:6" ht="12.75">
      <c r="A11" s="25">
        <f>Shipping_loss</f>
        <v>0.999</v>
      </c>
      <c r="B11" s="8" t="s">
        <v>6</v>
      </c>
      <c r="C11" s="26">
        <f>Shipping_loss</f>
        <v>0.999</v>
      </c>
      <c r="D11" t="s">
        <v>6</v>
      </c>
      <c r="E11" s="25"/>
      <c r="F11" s="8"/>
    </row>
    <row r="12" spans="1:6" ht="12.75">
      <c r="A12" s="25">
        <v>0.995</v>
      </c>
      <c r="B12" s="8" t="s">
        <v>13</v>
      </c>
      <c r="C12" s="26">
        <f>A12^16</f>
        <v>0.9229311239742364</v>
      </c>
      <c r="D12" s="8" t="s">
        <v>13</v>
      </c>
      <c r="E12" s="14"/>
      <c r="F12" s="8"/>
    </row>
    <row r="13" spans="1:6" ht="12.75">
      <c r="A13" s="25">
        <f>Shipping_loss</f>
        <v>0.999</v>
      </c>
      <c r="B13" s="8" t="s">
        <v>6</v>
      </c>
      <c r="C13" s="26">
        <f>Shipping_loss</f>
        <v>0.999</v>
      </c>
      <c r="D13" s="8" t="s">
        <v>6</v>
      </c>
      <c r="E13" s="14"/>
      <c r="F13" s="8"/>
    </row>
    <row r="14" spans="1:6" ht="12.75">
      <c r="A14" s="25">
        <v>0.95</v>
      </c>
      <c r="B14" s="8" t="s">
        <v>77</v>
      </c>
      <c r="C14" s="26">
        <v>0.97</v>
      </c>
      <c r="D14" s="8" t="s">
        <v>9</v>
      </c>
      <c r="E14" s="14"/>
      <c r="F14" s="8"/>
    </row>
    <row r="15" spans="1:6" ht="12.75">
      <c r="A15" s="25">
        <f>Shipping_loss</f>
        <v>0.999</v>
      </c>
      <c r="B15" s="8" t="s">
        <v>6</v>
      </c>
      <c r="C15" s="26">
        <v>0.99</v>
      </c>
      <c r="D15" s="8" t="s">
        <v>10</v>
      </c>
      <c r="E15" s="14"/>
      <c r="F15" s="8"/>
    </row>
    <row r="16" spans="1:6" ht="12.75">
      <c r="A16" s="25">
        <v>0.97</v>
      </c>
      <c r="B16" s="8" t="s">
        <v>9</v>
      </c>
      <c r="C16" s="26">
        <f>Shipping_loss</f>
        <v>0.999</v>
      </c>
      <c r="D16" s="8" t="s">
        <v>6</v>
      </c>
      <c r="E16" s="14"/>
      <c r="F16" s="8"/>
    </row>
    <row r="17" spans="1:6" ht="12.75">
      <c r="A17" s="25">
        <v>0.97</v>
      </c>
      <c r="B17" s="8" t="s">
        <v>10</v>
      </c>
      <c r="C17" s="25">
        <v>0.99</v>
      </c>
      <c r="D17" s="8" t="s">
        <v>22</v>
      </c>
      <c r="E17" s="14"/>
      <c r="F17" s="8"/>
    </row>
    <row r="18" spans="1:6" ht="12.75">
      <c r="A18" s="25">
        <f>Shipping_loss</f>
        <v>0.999</v>
      </c>
      <c r="B18" s="8" t="s">
        <v>6</v>
      </c>
      <c r="C18" s="20"/>
      <c r="D18" s="8"/>
      <c r="E18" s="20"/>
      <c r="F18" s="8"/>
    </row>
    <row r="19" spans="1:6" ht="12.75">
      <c r="A19" s="25">
        <v>0.99</v>
      </c>
      <c r="B19" s="8" t="s">
        <v>22</v>
      </c>
      <c r="C19" s="14"/>
      <c r="D19" s="8"/>
      <c r="E19" s="14"/>
      <c r="F19" s="8"/>
    </row>
    <row r="20" spans="1:6" ht="12.75">
      <c r="A20" s="21" t="s">
        <v>11</v>
      </c>
      <c r="B20" s="22">
        <f>PRODUCT(A6:A19)</f>
        <v>0.24704894395232402</v>
      </c>
      <c r="C20" s="14"/>
      <c r="D20" s="22">
        <f>PRODUCT(C6:C17)</f>
        <v>0.7621721934416945</v>
      </c>
      <c r="E20" s="14"/>
      <c r="F20" s="22">
        <f>PRODUCT(E6:E16)</f>
        <v>0.6034662546749999</v>
      </c>
    </row>
    <row r="21" spans="1:6" ht="12.75">
      <c r="A21" s="23"/>
      <c r="B21" s="12" t="s">
        <v>16</v>
      </c>
      <c r="C21" s="15"/>
      <c r="D21" s="12" t="s">
        <v>17</v>
      </c>
      <c r="E21" s="15"/>
      <c r="F21" s="12" t="s">
        <v>42</v>
      </c>
    </row>
    <row r="22" ht="12.75">
      <c r="A22" s="24"/>
    </row>
    <row r="23" spans="1:4" ht="12.75">
      <c r="A23" s="24"/>
      <c r="C23" s="16" t="s">
        <v>11</v>
      </c>
      <c r="D23" s="4" t="s">
        <v>19</v>
      </c>
    </row>
    <row r="24" spans="1:4" ht="12.75">
      <c r="A24" s="24"/>
      <c r="C24" s="25">
        <v>0.99</v>
      </c>
      <c r="D24" s="8" t="s">
        <v>20</v>
      </c>
    </row>
    <row r="25" spans="1:4" ht="12.75">
      <c r="A25" s="24"/>
      <c r="C25" s="25">
        <f>C24^18</f>
        <v>0.8345137614500874</v>
      </c>
      <c r="D25" s="8" t="s">
        <v>21</v>
      </c>
    </row>
    <row r="26" spans="1:4" ht="12.75">
      <c r="A26" s="24"/>
      <c r="C26" s="25">
        <f>Shipping_loss</f>
        <v>0.999</v>
      </c>
      <c r="D26" s="8" t="s">
        <v>6</v>
      </c>
    </row>
    <row r="27" spans="1:4" ht="12.75">
      <c r="A27" s="24"/>
      <c r="C27" s="25">
        <v>0.99</v>
      </c>
      <c r="D27" s="8" t="s">
        <v>76</v>
      </c>
    </row>
    <row r="28" spans="1:4" ht="12.75">
      <c r="A28" s="24"/>
      <c r="C28" s="25">
        <f>Shipping_loss</f>
        <v>0.999</v>
      </c>
      <c r="D28" s="8" t="s">
        <v>6</v>
      </c>
    </row>
    <row r="29" spans="1:4" ht="12.75">
      <c r="A29" s="24"/>
      <c r="C29" s="25">
        <v>0.98</v>
      </c>
      <c r="D29" s="8" t="s">
        <v>25</v>
      </c>
    </row>
    <row r="30" spans="1:4" ht="12.75">
      <c r="A30" s="24"/>
      <c r="C30" s="25">
        <v>0.95</v>
      </c>
      <c r="D30" s="8" t="s">
        <v>26</v>
      </c>
    </row>
    <row r="31" spans="1:4" ht="12.75">
      <c r="A31" s="24"/>
      <c r="C31" s="25">
        <f>Shipping_loss</f>
        <v>0.999</v>
      </c>
      <c r="D31" s="8" t="s">
        <v>6</v>
      </c>
    </row>
    <row r="32" spans="1:4" ht="12.75">
      <c r="A32" s="24"/>
      <c r="C32" s="14"/>
      <c r="D32" s="8"/>
    </row>
    <row r="33" spans="1:4" ht="12.75">
      <c r="A33" s="24"/>
      <c r="C33" s="14"/>
      <c r="D33" s="22">
        <f>PRODUCT(C24:C31)</f>
        <v>0.759189228478918</v>
      </c>
    </row>
    <row r="34" spans="1:4" ht="12.75">
      <c r="A34" s="24"/>
      <c r="C34" s="17"/>
      <c r="D34" s="12" t="s">
        <v>27</v>
      </c>
    </row>
    <row r="35" ht="12.75">
      <c r="A35" s="24"/>
    </row>
    <row r="36" spans="1:2" ht="12.75">
      <c r="A36" s="35">
        <v>0.999</v>
      </c>
      <c r="B36" t="s">
        <v>12</v>
      </c>
    </row>
  </sheetData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workbookViewId="0" topLeftCell="A1">
      <selection activeCell="E22" sqref="E22"/>
    </sheetView>
  </sheetViews>
  <sheetFormatPr defaultColWidth="9.140625" defaultRowHeight="12.75"/>
  <cols>
    <col min="1" max="1" width="16.28125" style="0" customWidth="1"/>
    <col min="5" max="5" width="8.8515625" style="30" customWidth="1"/>
    <col min="6" max="6" width="52.7109375" style="0" customWidth="1"/>
  </cols>
  <sheetData>
    <row r="1" ht="12.75">
      <c r="A1" t="s">
        <v>112</v>
      </c>
    </row>
    <row r="2" ht="12.75">
      <c r="A2" t="s">
        <v>111</v>
      </c>
    </row>
    <row r="4" spans="1:6" ht="12.75">
      <c r="A4" s="1" t="s">
        <v>2</v>
      </c>
      <c r="B4" s="1" t="s">
        <v>79</v>
      </c>
      <c r="C4" s="1" t="s">
        <v>80</v>
      </c>
      <c r="D4" s="1" t="s">
        <v>81</v>
      </c>
      <c r="E4" s="34" t="s">
        <v>82</v>
      </c>
      <c r="F4" s="1" t="s">
        <v>83</v>
      </c>
    </row>
    <row r="5" spans="2:4" ht="12.75">
      <c r="B5" s="18"/>
      <c r="C5" s="30"/>
      <c r="D5" s="30"/>
    </row>
    <row r="6" spans="1:6" ht="12.75">
      <c r="A6" t="s">
        <v>86</v>
      </c>
      <c r="B6" s="18">
        <v>30</v>
      </c>
      <c r="C6" s="30"/>
      <c r="D6" s="30">
        <v>0</v>
      </c>
      <c r="E6" s="30">
        <f>B6/60*D6</f>
        <v>0</v>
      </c>
      <c r="F6" t="s">
        <v>85</v>
      </c>
    </row>
    <row r="7" spans="1:6" ht="12.75">
      <c r="A7" t="s">
        <v>87</v>
      </c>
      <c r="B7" s="18">
        <v>30</v>
      </c>
      <c r="C7" s="30"/>
      <c r="D7" s="30">
        <v>0</v>
      </c>
      <c r="E7" s="30">
        <f>C7*(23*16+84)</f>
        <v>0</v>
      </c>
      <c r="F7" t="s">
        <v>108</v>
      </c>
    </row>
    <row r="8" spans="1:6" ht="12.75">
      <c r="A8" t="s">
        <v>88</v>
      </c>
      <c r="B8" s="18">
        <v>30</v>
      </c>
      <c r="C8" s="30"/>
      <c r="D8" s="30">
        <v>0</v>
      </c>
      <c r="E8" s="30">
        <f>B8/60*D8</f>
        <v>0</v>
      </c>
      <c r="F8" t="s">
        <v>85</v>
      </c>
    </row>
    <row r="9" spans="1:6" ht="12.75">
      <c r="A9" t="s">
        <v>89</v>
      </c>
      <c r="B9" s="18">
        <v>30</v>
      </c>
      <c r="C9" s="30"/>
      <c r="D9" s="30">
        <v>0</v>
      </c>
      <c r="E9" s="30">
        <f>B9/60*D9</f>
        <v>0</v>
      </c>
      <c r="F9" t="s">
        <v>85</v>
      </c>
    </row>
    <row r="10" spans="1:6" ht="12.75">
      <c r="A10" t="s">
        <v>90</v>
      </c>
      <c r="B10" s="18">
        <v>20</v>
      </c>
      <c r="C10" s="30"/>
      <c r="D10" s="30">
        <v>0</v>
      </c>
      <c r="E10" s="30">
        <f>B10/60*D10</f>
        <v>0</v>
      </c>
      <c r="F10" t="s">
        <v>91</v>
      </c>
    </row>
    <row r="11" spans="1:6" ht="12.75">
      <c r="A11" t="s">
        <v>92</v>
      </c>
      <c r="E11" s="30">
        <v>10.4</v>
      </c>
      <c r="F11" t="s">
        <v>93</v>
      </c>
    </row>
    <row r="12" spans="4:5" ht="12.75">
      <c r="D12" t="s">
        <v>94</v>
      </c>
      <c r="E12" s="30">
        <f>SUM(E5:E11)</f>
        <v>10.4</v>
      </c>
    </row>
    <row r="14" spans="1:6" ht="12.75">
      <c r="A14" s="1" t="s">
        <v>95</v>
      </c>
      <c r="B14" s="1" t="s">
        <v>79</v>
      </c>
      <c r="C14" s="1" t="s">
        <v>80</v>
      </c>
      <c r="D14" s="1" t="s">
        <v>81</v>
      </c>
      <c r="E14" s="34" t="s">
        <v>82</v>
      </c>
      <c r="F14" s="1"/>
    </row>
    <row r="15" spans="1:6" ht="12.75">
      <c r="A15" t="s">
        <v>96</v>
      </c>
      <c r="C15">
        <v>100.5</v>
      </c>
      <c r="E15" s="30">
        <f>C15</f>
        <v>100.5</v>
      </c>
      <c r="F15" t="s">
        <v>113</v>
      </c>
    </row>
    <row r="17" spans="1:6" ht="12.75">
      <c r="A17" t="s">
        <v>125</v>
      </c>
      <c r="F17" t="s">
        <v>114</v>
      </c>
    </row>
    <row r="18" spans="1:5" ht="12.75">
      <c r="A18" s="31" t="s">
        <v>100</v>
      </c>
      <c r="B18">
        <v>30</v>
      </c>
      <c r="D18" s="30"/>
      <c r="E18" s="30">
        <f>B18/60*D18</f>
        <v>0</v>
      </c>
    </row>
    <row r="19" spans="1:5" ht="12.75">
      <c r="A19" s="31" t="s">
        <v>101</v>
      </c>
      <c r="C19">
        <v>53.6</v>
      </c>
      <c r="E19" s="30">
        <f>C19</f>
        <v>53.6</v>
      </c>
    </row>
    <row r="20" spans="1:5" ht="12.75">
      <c r="A20" s="31" t="s">
        <v>123</v>
      </c>
      <c r="C20" s="30">
        <v>6.7</v>
      </c>
      <c r="E20" s="30">
        <f>C20</f>
        <v>6.7</v>
      </c>
    </row>
    <row r="21" spans="4:5" ht="12.75">
      <c r="D21" t="s">
        <v>102</v>
      </c>
      <c r="E21" s="30">
        <f>SUM(E18:E20)</f>
        <v>60.300000000000004</v>
      </c>
    </row>
    <row r="22" spans="4:6" ht="12.75">
      <c r="D22" t="s">
        <v>103</v>
      </c>
      <c r="E22" s="30">
        <f>7*E21/(3233/4)</f>
        <v>0.5222394061243427</v>
      </c>
      <c r="F22" t="s">
        <v>124</v>
      </c>
    </row>
    <row r="23" spans="4:6" ht="12.75">
      <c r="D23" s="32" t="s">
        <v>105</v>
      </c>
      <c r="E23" s="30">
        <f>SUM(E5:E11)+E15+E18+E22</f>
        <v>111.42223940612435</v>
      </c>
      <c r="F23" t="s">
        <v>106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&amp;C&amp;22&amp;A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2.421875" style="0" customWidth="1"/>
    <col min="3" max="3" width="8.8515625" style="30" customWidth="1"/>
    <col min="5" max="5" width="8.8515625" style="30" customWidth="1"/>
    <col min="6" max="6" width="50.28125" style="0" customWidth="1"/>
  </cols>
  <sheetData>
    <row r="1" ht="12.75">
      <c r="A1" t="s">
        <v>78</v>
      </c>
    </row>
    <row r="2" ht="12.75">
      <c r="A2" t="s">
        <v>111</v>
      </c>
    </row>
    <row r="4" spans="1:6" s="1" customFormat="1" ht="12.75">
      <c r="A4" s="1" t="s">
        <v>2</v>
      </c>
      <c r="B4" s="1" t="s">
        <v>79</v>
      </c>
      <c r="C4" s="34" t="s">
        <v>80</v>
      </c>
      <c r="D4" s="1" t="s">
        <v>81</v>
      </c>
      <c r="E4" s="34" t="s">
        <v>82</v>
      </c>
      <c r="F4" s="1" t="s">
        <v>83</v>
      </c>
    </row>
    <row r="5" spans="2:4" ht="12.75">
      <c r="B5" s="18"/>
      <c r="D5" s="30"/>
    </row>
    <row r="6" spans="1:6" ht="12.75">
      <c r="A6" t="s">
        <v>84</v>
      </c>
      <c r="B6" s="18"/>
      <c r="C6" s="30">
        <v>10</v>
      </c>
      <c r="D6" s="30"/>
      <c r="E6" s="30">
        <f>C6</f>
        <v>10</v>
      </c>
      <c r="F6" t="s">
        <v>110</v>
      </c>
    </row>
    <row r="7" spans="1:6" ht="12.75">
      <c r="A7" t="s">
        <v>15</v>
      </c>
      <c r="B7" s="18">
        <v>60</v>
      </c>
      <c r="D7" s="30">
        <v>0</v>
      </c>
      <c r="E7" s="30">
        <f>B7/60*D7</f>
        <v>0</v>
      </c>
      <c r="F7" t="s">
        <v>85</v>
      </c>
    </row>
    <row r="8" spans="1:6" ht="12.75">
      <c r="A8" t="s">
        <v>84</v>
      </c>
      <c r="B8" s="18">
        <v>5</v>
      </c>
      <c r="D8" s="30">
        <v>0</v>
      </c>
      <c r="E8" s="30">
        <f>B8/60*D8</f>
        <v>0</v>
      </c>
      <c r="F8" t="s">
        <v>109</v>
      </c>
    </row>
    <row r="9" spans="1:6" ht="12.75">
      <c r="A9" t="s">
        <v>86</v>
      </c>
      <c r="B9" s="18">
        <v>30</v>
      </c>
      <c r="D9" s="30">
        <v>0</v>
      </c>
      <c r="E9" s="30">
        <f>B9/60*D9</f>
        <v>0</v>
      </c>
      <c r="F9" t="s">
        <v>85</v>
      </c>
    </row>
    <row r="10" spans="1:6" ht="12.75">
      <c r="A10" t="s">
        <v>87</v>
      </c>
      <c r="B10" s="18">
        <v>30</v>
      </c>
      <c r="D10" s="30">
        <v>0</v>
      </c>
      <c r="E10" s="30">
        <f>C10*(23*16+84)</f>
        <v>0</v>
      </c>
      <c r="F10" t="s">
        <v>108</v>
      </c>
    </row>
    <row r="11" spans="1:6" ht="12.75">
      <c r="A11" t="s">
        <v>88</v>
      </c>
      <c r="B11" s="18">
        <v>30</v>
      </c>
      <c r="D11" s="30">
        <v>0</v>
      </c>
      <c r="E11" s="30">
        <f>B11/60*D11</f>
        <v>0</v>
      </c>
      <c r="F11" t="s">
        <v>85</v>
      </c>
    </row>
    <row r="12" spans="1:6" ht="12.75">
      <c r="A12" t="s">
        <v>89</v>
      </c>
      <c r="B12" s="18">
        <v>30</v>
      </c>
      <c r="D12" s="30">
        <v>0</v>
      </c>
      <c r="E12" s="30">
        <f>B12/60*D12</f>
        <v>0</v>
      </c>
      <c r="F12" t="s">
        <v>85</v>
      </c>
    </row>
    <row r="13" spans="1:6" ht="12.75">
      <c r="A13" t="s">
        <v>90</v>
      </c>
      <c r="B13" s="18">
        <v>20</v>
      </c>
      <c r="D13" s="30">
        <v>0</v>
      </c>
      <c r="E13" s="30">
        <f>B13/60*D13</f>
        <v>0</v>
      </c>
      <c r="F13" t="s">
        <v>91</v>
      </c>
    </row>
    <row r="14" spans="1:6" ht="12.75">
      <c r="A14" t="s">
        <v>92</v>
      </c>
      <c r="E14" s="30">
        <v>10.4</v>
      </c>
      <c r="F14" t="s">
        <v>93</v>
      </c>
    </row>
    <row r="15" spans="4:5" ht="12.75">
      <c r="D15" t="s">
        <v>94</v>
      </c>
      <c r="E15" s="30">
        <f>SUM(E5:E14)</f>
        <v>20.4</v>
      </c>
    </row>
    <row r="17" spans="1:5" s="1" customFormat="1" ht="12.75">
      <c r="A17" s="1" t="s">
        <v>95</v>
      </c>
      <c r="B17" s="1" t="s">
        <v>79</v>
      </c>
      <c r="C17" s="34" t="s">
        <v>80</v>
      </c>
      <c r="D17" s="1" t="s">
        <v>81</v>
      </c>
      <c r="E17" s="34" t="s">
        <v>82</v>
      </c>
    </row>
    <row r="18" spans="1:6" ht="12.75">
      <c r="A18" t="s">
        <v>96</v>
      </c>
      <c r="C18" s="30">
        <v>270</v>
      </c>
      <c r="E18" s="30">
        <v>270</v>
      </c>
      <c r="F18" t="s">
        <v>97</v>
      </c>
    </row>
    <row r="20" spans="1:6" ht="12.75">
      <c r="A20" t="s">
        <v>98</v>
      </c>
      <c r="F20" t="s">
        <v>99</v>
      </c>
    </row>
    <row r="21" spans="1:5" ht="12.75">
      <c r="A21" s="31" t="s">
        <v>100</v>
      </c>
      <c r="B21">
        <v>30</v>
      </c>
      <c r="D21" s="30"/>
      <c r="E21" s="30">
        <f>B21/60*D21</f>
        <v>0</v>
      </c>
    </row>
    <row r="22" spans="1:5" ht="12.75">
      <c r="A22" s="31" t="s">
        <v>101</v>
      </c>
      <c r="C22" s="30">
        <v>53.6</v>
      </c>
      <c r="E22" s="30">
        <f>C22</f>
        <v>53.6</v>
      </c>
    </row>
    <row r="23" spans="1:5" ht="12.75">
      <c r="A23" s="31" t="s">
        <v>123</v>
      </c>
      <c r="C23" s="30">
        <v>6.7</v>
      </c>
      <c r="E23" s="30">
        <f>C23</f>
        <v>6.7</v>
      </c>
    </row>
    <row r="24" spans="4:5" ht="12.75">
      <c r="D24" t="s">
        <v>102</v>
      </c>
      <c r="E24" s="30">
        <f>SUM(E21:E23)</f>
        <v>60.300000000000004</v>
      </c>
    </row>
    <row r="25" spans="4:6" ht="12.75">
      <c r="D25" t="s">
        <v>103</v>
      </c>
      <c r="E25" s="30">
        <f>10/40*'GE Flex Cost'!E24</f>
        <v>15.075000000000001</v>
      </c>
      <c r="F25" t="s">
        <v>104</v>
      </c>
    </row>
    <row r="26" spans="4:6" ht="12.75">
      <c r="D26" s="32" t="s">
        <v>105</v>
      </c>
      <c r="E26" s="30">
        <f>SUM(E5:E14)+E18+E21+E25</f>
        <v>305.47499999999997</v>
      </c>
      <c r="F26" t="s">
        <v>106</v>
      </c>
    </row>
  </sheetData>
  <printOptions/>
  <pageMargins left="0.75" right="0.75" top="1" bottom="1" header="0.5" footer="0.5"/>
  <pageSetup fitToHeight="1" fitToWidth="1" horizontalDpi="300" verticalDpi="300" orientation="landscape" r:id="rId2"/>
  <headerFooter alignWithMargins="0">
    <oddHeader>&amp;C&amp;22Ge Flex Cost</oddHeader>
    <oddFooter>&amp;Cnewyield2.xls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4">
      <selection activeCell="F15" sqref="F15"/>
    </sheetView>
  </sheetViews>
  <sheetFormatPr defaultColWidth="9.140625" defaultRowHeight="12.75"/>
  <cols>
    <col min="1" max="1" width="21.7109375" style="0" customWidth="1"/>
  </cols>
  <sheetData>
    <row r="1" ht="12.75">
      <c r="A1" t="s">
        <v>127</v>
      </c>
    </row>
    <row r="2" ht="12.75">
      <c r="A2" t="s">
        <v>122</v>
      </c>
    </row>
    <row r="4" spans="1:2" ht="12.75">
      <c r="A4" t="s">
        <v>29</v>
      </c>
      <c r="B4">
        <v>2228</v>
      </c>
    </row>
    <row r="5" spans="1:2" ht="12.75">
      <c r="A5" t="s">
        <v>30</v>
      </c>
      <c r="B5">
        <f>B4*16</f>
        <v>35648</v>
      </c>
    </row>
    <row r="6" spans="1:2" ht="12.75">
      <c r="A6" t="s">
        <v>31</v>
      </c>
      <c r="B6">
        <v>90</v>
      </c>
    </row>
    <row r="7" spans="1:3" ht="12.75">
      <c r="A7" t="s">
        <v>129</v>
      </c>
      <c r="B7">
        <v>3</v>
      </c>
      <c r="C7">
        <v>3</v>
      </c>
    </row>
    <row r="9" spans="2:7" ht="12.75">
      <c r="B9" s="1" t="s">
        <v>4</v>
      </c>
      <c r="C9" s="1" t="s">
        <v>37</v>
      </c>
      <c r="D9" s="19" t="s">
        <v>38</v>
      </c>
      <c r="E9" s="1" t="s">
        <v>32</v>
      </c>
      <c r="F9" s="1" t="s">
        <v>37</v>
      </c>
      <c r="G9" s="19" t="s">
        <v>38</v>
      </c>
    </row>
    <row r="10" spans="1:5" ht="12.75">
      <c r="A10" t="s">
        <v>33</v>
      </c>
      <c r="B10" s="18">
        <f>B4/'R&amp;D Yield Model'!D37</f>
        <v>3126.940993703744</v>
      </c>
      <c r="E10" s="18">
        <f>B4/'MCM-D'!D33</f>
        <v>2934.7097092828017</v>
      </c>
    </row>
    <row r="11" spans="1:5" ht="12.75">
      <c r="A11" t="s">
        <v>34</v>
      </c>
      <c r="B11" s="18">
        <f>B10*16/'R&amp;D Yield Model'!B20</f>
        <v>202514.75314508931</v>
      </c>
      <c r="E11" s="18">
        <f>(E10*16)/'MCM-D'!B20</f>
        <v>190064.99116056276</v>
      </c>
    </row>
    <row r="12" spans="1:7" ht="12.75">
      <c r="A12" t="s">
        <v>35</v>
      </c>
      <c r="B12" s="18">
        <f>B11/B6</f>
        <v>2250.163923834326</v>
      </c>
      <c r="C12" s="18">
        <f>MAX(6242-(B12-1200)*ICwafer,5000)</f>
        <v>5000</v>
      </c>
      <c r="D12" s="18">
        <f aca="true" t="shared" si="0" ref="D12:D17">B12*C12/1000</f>
        <v>11250.81961917163</v>
      </c>
      <c r="E12" s="18">
        <f>E11/B6</f>
        <v>2111.833235117364</v>
      </c>
      <c r="F12" s="18">
        <f>MAX(6242-(E12-1200)*ICwafer,H24)</f>
        <v>5000</v>
      </c>
      <c r="G12" s="18">
        <f aca="true" t="shared" si="1" ref="G12:G17">E12*F12/1000</f>
        <v>10559.166175586819</v>
      </c>
    </row>
    <row r="13" spans="1:7" ht="12.75">
      <c r="A13" t="s">
        <v>36</v>
      </c>
      <c r="B13" s="18">
        <f>(B10/B7)/'R&amp;D Yield Model'!D20</f>
        <v>1367.5566670324226</v>
      </c>
      <c r="C13" s="18">
        <f>MAX(1150-(B13-1200)*Detwafer,800)</f>
        <v>1091.3551665386522</v>
      </c>
      <c r="D13" s="18">
        <f t="shared" si="0"/>
        <v>1492.4900341002137</v>
      </c>
      <c r="E13" s="18">
        <f>(E14/'MCM-D'!D20)/C7</f>
        <v>2126.8546163786714</v>
      </c>
      <c r="F13" s="18">
        <f>MAX(1150-(E13-1200)*Detwafer,H25)</f>
        <v>1000</v>
      </c>
      <c r="G13" s="18">
        <f t="shared" si="1"/>
        <v>2126.8546163786714</v>
      </c>
    </row>
    <row r="14" spans="1:7" ht="12.75">
      <c r="A14" t="s">
        <v>43</v>
      </c>
      <c r="B14" s="18">
        <f>B10/'R&amp;D Yield Model'!F13</f>
        <v>3233.3408346878323</v>
      </c>
      <c r="C14" s="18">
        <v>305</v>
      </c>
      <c r="D14" s="18">
        <f t="shared" si="0"/>
        <v>986.1689545797889</v>
      </c>
      <c r="E14" s="18">
        <f>E10/'MCM-D'!F20</f>
        <v>4863.088344290777</v>
      </c>
      <c r="F14" s="18">
        <v>394</v>
      </c>
      <c r="G14" s="18">
        <f t="shared" si="1"/>
        <v>1916.056807650566</v>
      </c>
    </row>
    <row r="15" spans="1:7" ht="12.75">
      <c r="A15" t="s">
        <v>128</v>
      </c>
      <c r="B15" s="18">
        <f>B10</f>
        <v>3126.940993703744</v>
      </c>
      <c r="C15" s="18">
        <f>16*28</f>
        <v>448</v>
      </c>
      <c r="D15" s="18">
        <f t="shared" si="0"/>
        <v>1400.8695651792773</v>
      </c>
      <c r="E15" s="18">
        <f>E10</f>
        <v>2934.7097092828017</v>
      </c>
      <c r="F15" s="18">
        <f>16*28</f>
        <v>448</v>
      </c>
      <c r="G15" s="18">
        <f t="shared" si="1"/>
        <v>1314.7499497586953</v>
      </c>
    </row>
    <row r="16" spans="1:7" ht="12.75">
      <c r="A16" t="s">
        <v>39</v>
      </c>
      <c r="B16" s="18">
        <f>B12</f>
        <v>2250.163923834326</v>
      </c>
      <c r="C16" s="18">
        <f>MAX(690-(B16-1200)*BumpIC,H26)</f>
        <v>440.5860680893476</v>
      </c>
      <c r="D16" s="18">
        <f t="shared" si="0"/>
        <v>991.3908757586639</v>
      </c>
      <c r="E16" s="18">
        <f>E12</f>
        <v>2111.833235117364</v>
      </c>
      <c r="F16" s="18">
        <f>MAX(690-(E16-1200)*BumpIC,H26)</f>
        <v>473.43960665962607</v>
      </c>
      <c r="G16" s="18">
        <f t="shared" si="1"/>
        <v>999.8254961646904</v>
      </c>
    </row>
    <row r="17" spans="1:7" ht="12.75">
      <c r="A17" t="s">
        <v>40</v>
      </c>
      <c r="B17" s="18">
        <f>B13</f>
        <v>1367.5566670324226</v>
      </c>
      <c r="C17" s="18">
        <f>MAX(460-(B17-1200)*BumpDet,H27)</f>
        <v>447.4332499725683</v>
      </c>
      <c r="D17" s="18">
        <f t="shared" si="0"/>
        <v>611.8903240519704</v>
      </c>
      <c r="E17" s="18">
        <f>E13</f>
        <v>2126.8546163786714</v>
      </c>
      <c r="F17" s="18">
        <f>MAX(460-(E17-1200)*BumpDet,K27)</f>
        <v>390.4859037715996</v>
      </c>
      <c r="G17" s="18">
        <f t="shared" si="1"/>
        <v>830.5067470674244</v>
      </c>
    </row>
    <row r="19" spans="2:7" ht="12.75">
      <c r="B19" t="s">
        <v>41</v>
      </c>
      <c r="D19" s="18">
        <f>SUM(D12:D17)</f>
        <v>16733.629372841544</v>
      </c>
      <c r="G19" s="18">
        <f>SUM(G12:G17)</f>
        <v>17747.159792606868</v>
      </c>
    </row>
    <row r="21" spans="2:6" ht="12.75">
      <c r="B21" s="38" t="s">
        <v>44</v>
      </c>
      <c r="C21" s="36"/>
      <c r="D21" s="36"/>
      <c r="E21" s="37">
        <f>G19-D19</f>
        <v>1013.530419765324</v>
      </c>
      <c r="F21" s="36" t="s">
        <v>45</v>
      </c>
    </row>
    <row r="24" spans="1:8" ht="12.75">
      <c r="A24" t="s">
        <v>57</v>
      </c>
      <c r="F24">
        <v>2.06</v>
      </c>
      <c r="G24" t="s">
        <v>72</v>
      </c>
      <c r="H24">
        <v>5000</v>
      </c>
    </row>
    <row r="25" spans="1:8" ht="12.75">
      <c r="A25" t="s">
        <v>58</v>
      </c>
      <c r="F25">
        <v>0.35</v>
      </c>
      <c r="G25" t="s">
        <v>72</v>
      </c>
      <c r="H25">
        <v>1000</v>
      </c>
    </row>
    <row r="26" spans="1:8" ht="12.75">
      <c r="A26" t="s">
        <v>59</v>
      </c>
      <c r="F26">
        <v>0.2375</v>
      </c>
      <c r="G26" t="s">
        <v>72</v>
      </c>
      <c r="H26">
        <v>400</v>
      </c>
    </row>
    <row r="27" spans="1:8" ht="12.75">
      <c r="A27" t="s">
        <v>60</v>
      </c>
      <c r="F27">
        <v>0.075</v>
      </c>
      <c r="G27" t="s">
        <v>72</v>
      </c>
      <c r="H27">
        <v>300</v>
      </c>
    </row>
    <row r="28" ht="12.75">
      <c r="A28" t="s">
        <v>126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&amp;C&amp;22&amp;A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5">
      <selection activeCell="B11" sqref="B11"/>
    </sheetView>
  </sheetViews>
  <sheetFormatPr defaultColWidth="9.140625" defaultRowHeight="12.75"/>
  <cols>
    <col min="1" max="1" width="21.8515625" style="0" bestFit="1" customWidth="1"/>
    <col min="3" max="3" width="8.7109375" style="0" bestFit="1" customWidth="1"/>
  </cols>
  <sheetData>
    <row r="1" ht="12.75">
      <c r="A1" t="s">
        <v>28</v>
      </c>
    </row>
    <row r="2" ht="12.75">
      <c r="A2" t="s">
        <v>75</v>
      </c>
    </row>
    <row r="4" spans="1:2" ht="12.75">
      <c r="A4" t="s">
        <v>29</v>
      </c>
      <c r="B4">
        <v>2228</v>
      </c>
    </row>
    <row r="5" spans="1:2" ht="12.75">
      <c r="A5" t="s">
        <v>30</v>
      </c>
      <c r="B5">
        <f>B4*16</f>
        <v>35648</v>
      </c>
    </row>
    <row r="6" spans="1:2" ht="12.75">
      <c r="A6" t="s">
        <v>31</v>
      </c>
      <c r="B6">
        <v>90</v>
      </c>
    </row>
    <row r="7" spans="1:3" ht="12.75">
      <c r="A7" t="s">
        <v>129</v>
      </c>
      <c r="B7">
        <v>3</v>
      </c>
      <c r="C7">
        <v>3</v>
      </c>
    </row>
    <row r="9" spans="2:7" ht="12.75">
      <c r="B9" s="1" t="s">
        <v>4</v>
      </c>
      <c r="C9" s="1" t="s">
        <v>37</v>
      </c>
      <c r="D9" s="19" t="s">
        <v>38</v>
      </c>
      <c r="E9" s="1" t="s">
        <v>32</v>
      </c>
      <c r="F9" s="1" t="s">
        <v>37</v>
      </c>
      <c r="G9" s="19" t="s">
        <v>38</v>
      </c>
    </row>
    <row r="10" spans="1:5" ht="12.75">
      <c r="A10" t="s">
        <v>33</v>
      </c>
      <c r="B10" s="18">
        <f>B4/'GE Yield Model'!D37</f>
        <v>3126.940993703744</v>
      </c>
      <c r="E10" s="18">
        <f>B4/'MCM-D'!D33</f>
        <v>2934.7097092828017</v>
      </c>
    </row>
    <row r="11" spans="1:5" ht="12.75">
      <c r="A11" t="s">
        <v>34</v>
      </c>
      <c r="B11" s="18">
        <f>B10*16/'GE Yield Model'!B20</f>
        <v>202514.75314508931</v>
      </c>
      <c r="E11" s="18">
        <f>(E10*16)/'MCM-D'!B20</f>
        <v>190064.99116056276</v>
      </c>
    </row>
    <row r="12" spans="1:7" ht="12.75">
      <c r="A12" t="s">
        <v>35</v>
      </c>
      <c r="B12" s="18">
        <f>B11/B6</f>
        <v>2250.163923834326</v>
      </c>
      <c r="C12" s="18">
        <f>MAX(6242-(B12-1200)*ICwafer,H24)</f>
        <v>5000</v>
      </c>
      <c r="D12" s="18">
        <f aca="true" t="shared" si="0" ref="D12:D17">B12*C12/1000</f>
        <v>11250.81961917163</v>
      </c>
      <c r="E12" s="18">
        <f>E11/B6</f>
        <v>2111.833235117364</v>
      </c>
      <c r="F12" s="18">
        <f>MAX(6242-(E12-1200)*ICwafer,H24)</f>
        <v>5000</v>
      </c>
      <c r="G12" s="18">
        <f aca="true" t="shared" si="1" ref="G12:G17">E12*F12/1000</f>
        <v>10559.166175586819</v>
      </c>
    </row>
    <row r="13" spans="1:7" ht="12.75">
      <c r="A13" t="s">
        <v>36</v>
      </c>
      <c r="B13" s="18">
        <f>(B10/B7)/'GE Yield Model'!D20</f>
        <v>1367.5566670324226</v>
      </c>
      <c r="C13" s="18">
        <f>MAX(1150-(B13-1200)*Detwafer,800)</f>
        <v>1091.3551665386522</v>
      </c>
      <c r="D13" s="18">
        <f t="shared" si="0"/>
        <v>1492.4900341002137</v>
      </c>
      <c r="E13" s="18">
        <f>(E14/'MCM-D'!D20)/C7</f>
        <v>2126.8546163786714</v>
      </c>
      <c r="F13" s="18">
        <f>MAX(1150-(E13-1200)*Detwafer,H25)</f>
        <v>1000</v>
      </c>
      <c r="G13" s="18">
        <f t="shared" si="1"/>
        <v>2126.8546163786714</v>
      </c>
    </row>
    <row r="14" spans="1:7" ht="12.75">
      <c r="A14" t="s">
        <v>43</v>
      </c>
      <c r="B14" s="18">
        <f>B10/'GE Yield Model'!F19</f>
        <v>4327.773419476461</v>
      </c>
      <c r="C14" s="30">
        <f>'GE Flex Cost'!E26</f>
        <v>305.47499999999997</v>
      </c>
      <c r="D14" s="18">
        <f t="shared" si="0"/>
        <v>1322.0265853145715</v>
      </c>
      <c r="E14" s="18">
        <f>E10/'MCM-D'!F20</f>
        <v>4863.088344290777</v>
      </c>
      <c r="F14">
        <f>1183/3</f>
        <v>394.3333333333333</v>
      </c>
      <c r="G14" s="18">
        <f t="shared" si="1"/>
        <v>1917.677837098663</v>
      </c>
    </row>
    <row r="15" spans="1:7" ht="12.75">
      <c r="A15" t="s">
        <v>128</v>
      </c>
      <c r="B15" s="18">
        <f>B10</f>
        <v>3126.940993703744</v>
      </c>
      <c r="C15" s="18">
        <f>16*28</f>
        <v>448</v>
      </c>
      <c r="D15" s="18">
        <f t="shared" si="0"/>
        <v>1400.8695651792773</v>
      </c>
      <c r="E15" s="18">
        <f>E10</f>
        <v>2934.7097092828017</v>
      </c>
      <c r="F15" s="18">
        <f>16*28</f>
        <v>448</v>
      </c>
      <c r="G15" s="18">
        <f t="shared" si="1"/>
        <v>1314.7499497586953</v>
      </c>
    </row>
    <row r="16" spans="1:7" ht="12.75">
      <c r="A16" t="s">
        <v>39</v>
      </c>
      <c r="B16" s="18">
        <f>B12</f>
        <v>2250.163923834326</v>
      </c>
      <c r="C16" s="18">
        <f>MAX(690-(B16-1200)*BumpIC,H26)</f>
        <v>440.5860680893476</v>
      </c>
      <c r="D16" s="18">
        <f t="shared" si="0"/>
        <v>991.3908757586639</v>
      </c>
      <c r="E16" s="18">
        <f>E12</f>
        <v>2111.833235117364</v>
      </c>
      <c r="F16" s="18">
        <f>MAX(690-(E16-1200)*BumpIC,H26)</f>
        <v>473.43960665962607</v>
      </c>
      <c r="G16" s="18">
        <f t="shared" si="1"/>
        <v>999.8254961646904</v>
      </c>
    </row>
    <row r="17" spans="1:7" ht="12.75">
      <c r="A17" t="s">
        <v>40</v>
      </c>
      <c r="B17" s="18">
        <f>B13</f>
        <v>1367.5566670324226</v>
      </c>
      <c r="C17" s="18">
        <f>MAX(460-(B17-1200)*BumpDet,H27)</f>
        <v>447.4332499725683</v>
      </c>
      <c r="D17" s="18">
        <f t="shared" si="0"/>
        <v>611.8903240519704</v>
      </c>
      <c r="E17" s="18">
        <f>E13</f>
        <v>2126.8546163786714</v>
      </c>
      <c r="F17" s="18">
        <f>MAX(460-(E17-1200)*BumpDet,K27)</f>
        <v>390.4859037715996</v>
      </c>
      <c r="G17" s="18">
        <f t="shared" si="1"/>
        <v>830.5067470674244</v>
      </c>
    </row>
    <row r="19" spans="2:7" ht="12.75">
      <c r="B19" t="s">
        <v>41</v>
      </c>
      <c r="D19" s="18">
        <f>SUM(D12:D17)</f>
        <v>17069.48700357633</v>
      </c>
      <c r="G19" s="18">
        <f>SUM(G12:G17)</f>
        <v>17748.780822054963</v>
      </c>
    </row>
    <row r="21" spans="2:6" ht="12.75">
      <c r="B21" t="s">
        <v>44</v>
      </c>
      <c r="E21" s="18">
        <f>G19-D19</f>
        <v>679.2938184786326</v>
      </c>
      <c r="F21" t="s">
        <v>45</v>
      </c>
    </row>
    <row r="24" spans="1:8" ht="12.75">
      <c r="A24" t="s">
        <v>57</v>
      </c>
      <c r="F24">
        <v>2.06</v>
      </c>
      <c r="G24" t="s">
        <v>72</v>
      </c>
      <c r="H24">
        <v>5000</v>
      </c>
    </row>
    <row r="25" spans="1:8" ht="12.75">
      <c r="A25" t="s">
        <v>58</v>
      </c>
      <c r="F25">
        <v>0.35</v>
      </c>
      <c r="G25" t="s">
        <v>72</v>
      </c>
      <c r="H25">
        <v>1000</v>
      </c>
    </row>
    <row r="26" spans="1:8" ht="12.75">
      <c r="A26" t="s">
        <v>59</v>
      </c>
      <c r="F26">
        <v>0.2375</v>
      </c>
      <c r="G26" t="s">
        <v>72</v>
      </c>
      <c r="H26">
        <v>400</v>
      </c>
    </row>
    <row r="27" spans="1:8" ht="12.75">
      <c r="A27" t="s">
        <v>60</v>
      </c>
      <c r="F27">
        <v>0.075</v>
      </c>
      <c r="G27" t="s">
        <v>72</v>
      </c>
      <c r="H27">
        <v>300</v>
      </c>
    </row>
    <row r="28" ht="12.75">
      <c r="A28" t="s">
        <v>126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&amp;C&amp;22&amp;A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1999-02-18T23:34:37Z</cp:lastPrinted>
  <dcterms:created xsi:type="dcterms:W3CDTF">1998-11-15T05:55:21Z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