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<sst xmlns="http://schemas.openxmlformats.org/spreadsheetml/2006/main" count="194" uniqueCount="133">
  <si>
    <t>Needed</t>
  </si>
  <si>
    <t xml:space="preserve"> +Spares</t>
  </si>
  <si>
    <t>#1 Disks</t>
  </si>
  <si>
    <t>#2 Disks</t>
  </si>
  <si>
    <t>#1 Sectors</t>
  </si>
  <si>
    <t>#2 Sectors</t>
  </si>
  <si>
    <t>#3 Sectors</t>
  </si>
  <si>
    <t>A1 Modules</t>
  </si>
  <si>
    <t>A2 Modules</t>
  </si>
  <si>
    <t>A3 Modules</t>
  </si>
  <si>
    <t>B1 Modules</t>
  </si>
  <si>
    <t>B2 Modules</t>
  </si>
  <si>
    <t>B3 Modules</t>
  </si>
  <si>
    <t>Yield Loss</t>
  </si>
  <si>
    <t xml:space="preserve">  Total Assembled</t>
  </si>
  <si>
    <t>Total Good</t>
  </si>
  <si>
    <t>Bare Modules</t>
  </si>
  <si>
    <t>MCC bare die</t>
  </si>
  <si>
    <t>A1 cable</t>
  </si>
  <si>
    <t>A2 cable</t>
  </si>
  <si>
    <t>A3 cable</t>
  </si>
  <si>
    <t>B1 cable</t>
  </si>
  <si>
    <t>B2 cable</t>
  </si>
  <si>
    <t>B3 cable</t>
  </si>
  <si>
    <t>A pigtails</t>
  </si>
  <si>
    <t>B pigtails</t>
  </si>
  <si>
    <t>Elco connectors</t>
  </si>
  <si>
    <t>PCB frames</t>
  </si>
  <si>
    <t>Bare flex</t>
  </si>
  <si>
    <t>Flex+frame+SMT</t>
  </si>
  <si>
    <t>Shipping covers</t>
  </si>
  <si>
    <t>Bafe flex+frame</t>
  </si>
  <si>
    <r>
      <t>Red</t>
    </r>
    <r>
      <rPr>
        <sz val="10"/>
        <rFont val="Arial"/>
        <family val="0"/>
      </rPr>
      <t xml:space="preserve"> = inputs to LBNL</t>
    </r>
  </si>
  <si>
    <r>
      <t>Blue</t>
    </r>
    <r>
      <rPr>
        <sz val="10"/>
        <rFont val="Arial"/>
        <family val="0"/>
      </rPr>
      <t xml:space="preserve"> = inputs to Oklahoma</t>
    </r>
  </si>
  <si>
    <t xml:space="preserve">  Subtotal good production modules</t>
  </si>
  <si>
    <r>
      <t xml:space="preserve">    </t>
    </r>
    <r>
      <rPr>
        <b/>
        <u val="single"/>
        <sz val="10"/>
        <rFont val="Arial"/>
        <family val="2"/>
      </rPr>
      <t>DISK  MODULE  PRODUCTION  ASSEMBLY  COMPONENT  FLOW</t>
    </r>
  </si>
  <si>
    <t>US M&amp;S Cost</t>
  </si>
  <si>
    <t>tech. labor hrs</t>
  </si>
  <si>
    <t>Signal wire (ft)</t>
  </si>
  <si>
    <t>Power wire (ft)</t>
  </si>
  <si>
    <t>GND sense (ft)</t>
  </si>
  <si>
    <t>Type 1 PCB</t>
  </si>
  <si>
    <t>Grand total</t>
  </si>
  <si>
    <t>WBS 1.1.1.5.3</t>
  </si>
  <si>
    <t xml:space="preserve">  Subtotal good prot. &amp; pre-prod. modules</t>
  </si>
  <si>
    <t>WBS 1.1.1.5.2</t>
  </si>
  <si>
    <t xml:space="preserve">    (assume ~35 modules from this bath of FE-I wafers and another 35 modules from next iteration)</t>
  </si>
  <si>
    <r>
      <t xml:space="preserve">    </t>
    </r>
    <r>
      <rPr>
        <b/>
        <u val="single"/>
        <sz val="10"/>
        <rFont val="Arial"/>
        <family val="2"/>
      </rPr>
      <t>DISK  MODULE  FY03 PROTOTYPE  ASSEMBLY  COMPONENT  FLOW</t>
    </r>
  </si>
  <si>
    <t>FY03 System Test</t>
  </si>
  <si>
    <t>(note module assembly &amp; PP0 fabrication covered separately)</t>
  </si>
  <si>
    <t>Fred</t>
  </si>
  <si>
    <t>Mech. Tech.</t>
  </si>
  <si>
    <t>Shop</t>
  </si>
  <si>
    <t>Bryan/George</t>
  </si>
  <si>
    <t>Co</t>
  </si>
  <si>
    <t>Chin</t>
  </si>
  <si>
    <t>John J.</t>
  </si>
  <si>
    <t>Student</t>
  </si>
  <si>
    <t>Fab Cost ($)</t>
  </si>
  <si>
    <t>2 Sectors</t>
  </si>
  <si>
    <t>Sector housing &amp; cooling</t>
  </si>
  <si>
    <t>PC board w/Elcos</t>
  </si>
  <si>
    <t>Single PP0 test</t>
  </si>
  <si>
    <t>Test of interface to ROD</t>
  </si>
  <si>
    <t>ROD software</t>
  </si>
  <si>
    <t>Type 1 wire purchse</t>
  </si>
  <si>
    <t>Service panel assembly</t>
  </si>
  <si>
    <t>Integration ROD, Panel, Sectors</t>
  </si>
  <si>
    <t>Testing activities</t>
  </si>
  <si>
    <t>Total</t>
  </si>
  <si>
    <t>Equipment &amp; Supplies</t>
  </si>
  <si>
    <t>Voltage regulator &amp; switching boards</t>
  </si>
  <si>
    <t xml:space="preserve">    BARREL  MODULE  PRODUCTION  ASSEMBLY  COMPONENT  FLOW</t>
  </si>
  <si>
    <t>L1 Staves</t>
  </si>
  <si>
    <t>L2 Staves</t>
  </si>
  <si>
    <t>B Staves</t>
  </si>
  <si>
    <t>Modules</t>
  </si>
  <si>
    <t>Bare flex+frame</t>
  </si>
  <si>
    <t>Flex Hybrids +MCC +pigtail</t>
  </si>
  <si>
    <t>Flex Hybrids +MCC</t>
  </si>
  <si>
    <t>A1 flex + MCC</t>
  </si>
  <si>
    <t>A2 flex + MCC</t>
  </si>
  <si>
    <t>A3 flex + MCC</t>
  </si>
  <si>
    <t>B1 flex + MCC</t>
  </si>
  <si>
    <t>B2 flex + MCC</t>
  </si>
  <si>
    <t>B3 flex + MCC</t>
  </si>
  <si>
    <t>bumped KGD</t>
  </si>
  <si>
    <t>un-diced, un-reprobed</t>
  </si>
  <si>
    <t>un-thinned</t>
  </si>
  <si>
    <t>un-bumped</t>
  </si>
  <si>
    <t>perfect wafers</t>
  </si>
  <si>
    <t>raw wafers</t>
  </si>
  <si>
    <t>#3 Disks</t>
  </si>
  <si>
    <t xml:space="preserve">HV test yield = </t>
  </si>
  <si>
    <t>L1 Staves (3rd hit)</t>
  </si>
  <si>
    <t>Jonh R.</t>
  </si>
  <si>
    <t>WBS 1.1.1.6.2</t>
  </si>
  <si>
    <t>cost</t>
  </si>
  <si>
    <t>Grand Total</t>
  </si>
  <si>
    <t>TOTAL</t>
  </si>
  <si>
    <t>WBS 1.1.1.4</t>
  </si>
  <si>
    <t>Need</t>
  </si>
  <si>
    <t>Spares</t>
  </si>
  <si>
    <t>Started</t>
  </si>
  <si>
    <t>Yield loss</t>
  </si>
  <si>
    <t>PP0 flex</t>
  </si>
  <si>
    <t>Inner Panels</t>
  </si>
  <si>
    <t>PP1 Power Flex</t>
  </si>
  <si>
    <t>Samtec Connectors</t>
  </si>
  <si>
    <t>Signal flex</t>
  </si>
  <si>
    <t>Signal connectors</t>
  </si>
  <si>
    <t>HV flex</t>
  </si>
  <si>
    <t>HV connectors</t>
  </si>
  <si>
    <t>4x Power wire (feet)</t>
  </si>
  <si>
    <t>2x GND sense (feet)</t>
  </si>
  <si>
    <t>5x Signal wire (feet)</t>
  </si>
  <si>
    <t>Labor hrs</t>
  </si>
  <si>
    <t>Signal extensions</t>
  </si>
  <si>
    <t>2x HV wire</t>
  </si>
  <si>
    <t>Testing</t>
  </si>
  <si>
    <t>Repairs</t>
  </si>
  <si>
    <t>AWG</t>
  </si>
  <si>
    <t>Vol/ft (CC)</t>
  </si>
  <si>
    <t>multi</t>
  </si>
  <si>
    <t>Radius (cm)</t>
  </si>
  <si>
    <t>Al mass (g)</t>
  </si>
  <si>
    <t>Cu mass (g)</t>
  </si>
  <si>
    <t>Outer Panels</t>
  </si>
  <si>
    <t>Purchases</t>
  </si>
  <si>
    <t>Contracts</t>
  </si>
  <si>
    <t>Electrical Component of Service Panel Production (3 hit system)</t>
  </si>
  <si>
    <t>Disks</t>
  </si>
  <si>
    <t>Outer panel mult.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</si>
</sst>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2" sqref="B12"/>
    </sheetView>
  </sheetViews>
  <sheetFormatPr defaultColWidth="9.140625" defaultRowHeight="12.75"/>
  <cols>
    <col min="1" max="1" width="24.140625" style="0" customWidth="1"/>
    <col min="2" max="2" width="7.8515625" style="10" customWidth="1"/>
    <col min="3" max="3" width="8.140625" style="10" customWidth="1"/>
    <col min="4" max="4" width="10.00390625" style="10" customWidth="1"/>
    <col min="5" max="5" width="9.140625" style="10" customWidth="1"/>
    <col min="6" max="6" width="16.7109375" style="10" customWidth="1"/>
    <col min="7" max="7" width="9.140625" style="16" customWidth="1"/>
  </cols>
  <sheetData>
    <row r="1" spans="1:6" ht="12.75">
      <c r="A1" s="4"/>
      <c r="B1" s="11"/>
      <c r="C1" s="11"/>
      <c r="D1" s="11"/>
      <c r="E1" s="11"/>
      <c r="F1" s="11"/>
    </row>
    <row r="2" spans="1:6" ht="12.75">
      <c r="A2" s="8" t="s">
        <v>72</v>
      </c>
      <c r="B2" s="11"/>
      <c r="C2" s="11"/>
      <c r="D2" s="11"/>
      <c r="E2" s="11"/>
      <c r="F2" s="11"/>
    </row>
    <row r="3" spans="1:6" ht="12.75">
      <c r="A3" s="4"/>
      <c r="B3" s="11"/>
      <c r="C3" s="11"/>
      <c r="D3" s="11"/>
      <c r="E3" s="11"/>
      <c r="F3" s="11"/>
    </row>
    <row r="4" spans="1:6" ht="12.75">
      <c r="A4" s="18" t="s">
        <v>93</v>
      </c>
      <c r="B4" s="20">
        <v>0.1</v>
      </c>
      <c r="C4" s="11"/>
      <c r="D4" s="11"/>
      <c r="E4" s="11"/>
      <c r="F4" s="11"/>
    </row>
    <row r="5" spans="1:6" ht="12.75">
      <c r="A5" s="18"/>
      <c r="B5" s="20"/>
      <c r="C5" s="11"/>
      <c r="D5" s="11"/>
      <c r="E5" s="11"/>
      <c r="F5" s="11"/>
    </row>
    <row r="6" spans="1:6" ht="12.75">
      <c r="A6" s="4"/>
      <c r="B6" s="11" t="s">
        <v>0</v>
      </c>
      <c r="C6" s="11" t="s">
        <v>1</v>
      </c>
      <c r="D6" s="11" t="s">
        <v>15</v>
      </c>
      <c r="E6" s="11" t="s">
        <v>13</v>
      </c>
      <c r="F6" s="11" t="s">
        <v>14</v>
      </c>
    </row>
    <row r="7" spans="1:6" ht="12.75">
      <c r="A7" s="4"/>
      <c r="B7" s="11"/>
      <c r="C7" s="11"/>
      <c r="D7" s="11"/>
      <c r="E7" s="11"/>
      <c r="F7" s="11"/>
    </row>
    <row r="8" spans="1:6" ht="12.75">
      <c r="A8" s="4" t="s">
        <v>94</v>
      </c>
      <c r="B8" s="11">
        <v>38</v>
      </c>
      <c r="C8" s="11">
        <v>1</v>
      </c>
      <c r="D8" s="11"/>
      <c r="E8" s="11"/>
      <c r="F8" s="11"/>
    </row>
    <row r="9" spans="1:6" ht="12.75">
      <c r="A9" s="4" t="s">
        <v>73</v>
      </c>
      <c r="B9" s="11">
        <v>0</v>
      </c>
      <c r="C9" s="11">
        <v>0</v>
      </c>
      <c r="D9" s="11">
        <f>B9+C9</f>
        <v>0</v>
      </c>
      <c r="E9" s="11">
        <v>0</v>
      </c>
      <c r="F9" s="11">
        <f>D9+E9</f>
        <v>0</v>
      </c>
    </row>
    <row r="10" spans="1:6" ht="12.75">
      <c r="A10" s="4" t="s">
        <v>74</v>
      </c>
      <c r="B10" s="11">
        <v>52</v>
      </c>
      <c r="C10" s="11">
        <v>1</v>
      </c>
      <c r="D10" s="11">
        <f>B10+C10</f>
        <v>53</v>
      </c>
      <c r="E10" s="11">
        <v>0</v>
      </c>
      <c r="F10" s="11">
        <f aca="true" t="shared" si="0" ref="F10:F16">D10+E10</f>
        <v>53</v>
      </c>
    </row>
    <row r="11" spans="1:6" ht="12.75">
      <c r="A11" s="4" t="s">
        <v>75</v>
      </c>
      <c r="B11" s="11">
        <v>22</v>
      </c>
      <c r="C11" s="11">
        <v>1</v>
      </c>
      <c r="D11" s="11">
        <f>B11+C11</f>
        <v>23</v>
      </c>
      <c r="E11" s="11">
        <v>0</v>
      </c>
      <c r="F11" s="11">
        <f t="shared" si="0"/>
        <v>23</v>
      </c>
    </row>
    <row r="12" spans="1:6" ht="12.75">
      <c r="A12" s="4" t="s">
        <v>76</v>
      </c>
      <c r="B12" s="11">
        <f>SUM(F9:F11)*13</f>
        <v>988</v>
      </c>
      <c r="C12" s="11">
        <f>0.05*B12</f>
        <v>49.400000000000006</v>
      </c>
      <c r="D12" s="11">
        <f>B12+C12</f>
        <v>1037.4</v>
      </c>
      <c r="E12" s="11">
        <f>0.05*D12</f>
        <v>51.870000000000005</v>
      </c>
      <c r="F12" s="11">
        <f t="shared" si="0"/>
        <v>1089.27</v>
      </c>
    </row>
    <row r="13" spans="1:6" ht="12.75">
      <c r="A13" s="1" t="s">
        <v>34</v>
      </c>
      <c r="B13" s="11"/>
      <c r="C13" s="11"/>
      <c r="D13" s="12">
        <f>SUM(D12:D12)</f>
        <v>1037.4</v>
      </c>
      <c r="E13" s="11"/>
      <c r="F13" s="11"/>
    </row>
    <row r="14" spans="1:6" ht="12.75">
      <c r="A14" s="4" t="s">
        <v>16</v>
      </c>
      <c r="B14" s="11">
        <f>SUM(F12:F12)</f>
        <v>1089.27</v>
      </c>
      <c r="C14" s="11">
        <v>40</v>
      </c>
      <c r="D14" s="11">
        <f aca="true" t="shared" si="1" ref="D14:D22">B14+C14</f>
        <v>1129.27</v>
      </c>
      <c r="E14" s="11">
        <f>0.1*D14</f>
        <v>112.927</v>
      </c>
      <c r="F14" s="11">
        <f t="shared" si="0"/>
        <v>1242.197</v>
      </c>
    </row>
    <row r="15" spans="1:6" ht="12.75">
      <c r="A15" s="4" t="s">
        <v>78</v>
      </c>
      <c r="B15" s="11">
        <f>F12</f>
        <v>1089.27</v>
      </c>
      <c r="C15" s="11">
        <v>40</v>
      </c>
      <c r="D15" s="11">
        <f t="shared" si="1"/>
        <v>1129.27</v>
      </c>
      <c r="E15" s="11">
        <f>0.1*D15</f>
        <v>112.927</v>
      </c>
      <c r="F15" s="11">
        <f t="shared" si="0"/>
        <v>1242.197</v>
      </c>
    </row>
    <row r="16" spans="1:6" ht="12.75">
      <c r="A16" s="4" t="s">
        <v>79</v>
      </c>
      <c r="B16" s="11">
        <f>F15</f>
        <v>1242.197</v>
      </c>
      <c r="C16" s="11">
        <v>40</v>
      </c>
      <c r="D16" s="11">
        <f t="shared" si="1"/>
        <v>1282.197</v>
      </c>
      <c r="E16" s="11">
        <f>D16*0.1</f>
        <v>128.2197</v>
      </c>
      <c r="F16" s="11">
        <f t="shared" si="0"/>
        <v>1410.4166999999998</v>
      </c>
    </row>
    <row r="17" spans="1:7" ht="12.75">
      <c r="A17" s="4" t="s">
        <v>30</v>
      </c>
      <c r="B17" s="11">
        <f>F16</f>
        <v>1410.4166999999998</v>
      </c>
      <c r="C17" s="11">
        <v>50</v>
      </c>
      <c r="D17" s="11">
        <f t="shared" si="1"/>
        <v>1460.4166999999998</v>
      </c>
      <c r="E17" s="11"/>
      <c r="F17" s="11"/>
      <c r="G17" s="16">
        <f>D17*10</f>
        <v>14604.166999999998</v>
      </c>
    </row>
    <row r="18" spans="1:6" ht="12.75">
      <c r="A18" s="4" t="s">
        <v>17</v>
      </c>
      <c r="B18" s="11">
        <f>F16</f>
        <v>1410.4166999999998</v>
      </c>
      <c r="C18" s="11">
        <v>100</v>
      </c>
      <c r="D18" s="11">
        <f t="shared" si="1"/>
        <v>1510.4166999999998</v>
      </c>
      <c r="E18" s="11"/>
      <c r="F18" s="11"/>
    </row>
    <row r="19" spans="1:6" ht="12.75">
      <c r="A19" s="4" t="s">
        <v>29</v>
      </c>
      <c r="B19" s="11">
        <f>F16</f>
        <v>1410.4166999999998</v>
      </c>
      <c r="C19" s="11">
        <v>30</v>
      </c>
      <c r="D19" s="11">
        <f t="shared" si="1"/>
        <v>1440.4166999999998</v>
      </c>
      <c r="E19" s="11">
        <f>(B4+0.1)*D19</f>
        <v>288.08333999999996</v>
      </c>
      <c r="F19" s="11">
        <f>D19+E19</f>
        <v>1728.5000399999997</v>
      </c>
    </row>
    <row r="20" spans="1:6" ht="12.75">
      <c r="A20" s="4" t="s">
        <v>77</v>
      </c>
      <c r="B20" s="11">
        <f>F19</f>
        <v>1728.5000399999997</v>
      </c>
      <c r="C20" s="11">
        <v>30</v>
      </c>
      <c r="D20" s="11">
        <f t="shared" si="1"/>
        <v>1758.5000399999997</v>
      </c>
      <c r="E20" s="11">
        <f>0.05*D20</f>
        <v>87.92500199999999</v>
      </c>
      <c r="F20" s="11">
        <f>D20+E20</f>
        <v>1846.4250419999996</v>
      </c>
    </row>
    <row r="21" spans="1:6" ht="12.75">
      <c r="A21" s="4" t="s">
        <v>27</v>
      </c>
      <c r="B21" s="11">
        <f>F20</f>
        <v>1846.4250419999996</v>
      </c>
      <c r="C21" s="11">
        <v>17</v>
      </c>
      <c r="D21" s="11">
        <f t="shared" si="1"/>
        <v>1863.4250419999996</v>
      </c>
      <c r="E21" s="11"/>
      <c r="F21" s="11"/>
    </row>
    <row r="22" spans="1:6" ht="12.75">
      <c r="A22" s="1" t="s">
        <v>28</v>
      </c>
      <c r="B22" s="11">
        <f>F20</f>
        <v>1846.4250419999996</v>
      </c>
      <c r="C22" s="11">
        <v>37</v>
      </c>
      <c r="D22" s="12">
        <f t="shared" si="1"/>
        <v>1883.4250419999996</v>
      </c>
      <c r="E22" s="11"/>
      <c r="F22" s="11"/>
    </row>
    <row r="23" spans="1:4" ht="12.75">
      <c r="A23" s="2"/>
      <c r="D23" s="12"/>
    </row>
    <row r="24" spans="1:4" ht="12.75">
      <c r="A24" s="2" t="s">
        <v>86</v>
      </c>
      <c r="B24" s="10">
        <f>F14*16</f>
        <v>19875.152</v>
      </c>
      <c r="C24" s="10">
        <f>F14*17</f>
        <v>21117.349</v>
      </c>
      <c r="D24" s="11"/>
    </row>
    <row r="25" spans="1:4" ht="12.75">
      <c r="A25" s="2" t="s">
        <v>87</v>
      </c>
      <c r="B25" s="10">
        <f>C24*1.05</f>
        <v>22173.21645</v>
      </c>
      <c r="D25" s="12"/>
    </row>
    <row r="26" spans="1:2" ht="12.75">
      <c r="A26" s="2" t="s">
        <v>88</v>
      </c>
      <c r="B26" s="10">
        <f>B25*1.05</f>
        <v>23281.8772725</v>
      </c>
    </row>
    <row r="27" spans="1:2" ht="12.75">
      <c r="A27" s="2" t="s">
        <v>89</v>
      </c>
      <c r="B27" s="10">
        <f>B26*1.1</f>
        <v>25610.064999750004</v>
      </c>
    </row>
    <row r="28" spans="1:2" ht="12.75">
      <c r="A28" s="2" t="s">
        <v>90</v>
      </c>
      <c r="B28" s="10">
        <f>B27/300</f>
        <v>85.36688333250001</v>
      </c>
    </row>
    <row r="29" spans="1:2" ht="12.75">
      <c r="A29" s="2" t="s">
        <v>91</v>
      </c>
      <c r="B29" s="10">
        <f>B28/0.5</f>
        <v>170.73376666500002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6">
      <selection activeCell="F29" sqref="F29"/>
    </sheetView>
  </sheetViews>
  <sheetFormatPr defaultColWidth="9.140625" defaultRowHeight="12.75"/>
  <cols>
    <col min="1" max="1" width="18.421875" style="0" customWidth="1"/>
    <col min="4" max="4" width="10.00390625" style="0" customWidth="1"/>
    <col min="6" max="7" width="10.140625" style="21" customWidth="1"/>
    <col min="10" max="10" width="6.00390625" style="0" customWidth="1"/>
    <col min="11" max="11" width="10.57421875" style="0" customWidth="1"/>
    <col min="12" max="12" width="5.28125" style="0" customWidth="1"/>
    <col min="14" max="14" width="10.421875" style="10" customWidth="1"/>
    <col min="15" max="15" width="11.00390625" style="10" customWidth="1"/>
  </cols>
  <sheetData>
    <row r="1" ht="12.75">
      <c r="A1" s="8" t="s">
        <v>130</v>
      </c>
    </row>
    <row r="2" ht="12.75">
      <c r="A2" s="8"/>
    </row>
    <row r="3" spans="1:2" ht="12.75">
      <c r="A3" s="4" t="s">
        <v>132</v>
      </c>
      <c r="B3" t="s">
        <v>131</v>
      </c>
    </row>
    <row r="4" spans="1:2" ht="12.75">
      <c r="A4">
        <v>3.5</v>
      </c>
      <c r="B4">
        <v>2</v>
      </c>
    </row>
    <row r="6" spans="2:15" ht="12.75">
      <c r="B6" t="s">
        <v>101</v>
      </c>
      <c r="C6" t="s">
        <v>102</v>
      </c>
      <c r="D6" t="s">
        <v>104</v>
      </c>
      <c r="E6" t="s">
        <v>103</v>
      </c>
      <c r="F6" s="21" t="s">
        <v>128</v>
      </c>
      <c r="G6" s="21" t="s">
        <v>129</v>
      </c>
      <c r="H6" t="s">
        <v>116</v>
      </c>
      <c r="J6" t="s">
        <v>121</v>
      </c>
      <c r="K6" t="s">
        <v>124</v>
      </c>
      <c r="L6" t="s">
        <v>123</v>
      </c>
      <c r="M6" t="s">
        <v>122</v>
      </c>
      <c r="N6" s="10" t="s">
        <v>125</v>
      </c>
      <c r="O6" s="10" t="s">
        <v>126</v>
      </c>
    </row>
    <row r="8" spans="1:5" ht="12.75">
      <c r="A8" t="s">
        <v>127</v>
      </c>
      <c r="B8" s="10">
        <v>16</v>
      </c>
      <c r="C8" s="10">
        <v>0</v>
      </c>
      <c r="D8" s="10">
        <v>0</v>
      </c>
      <c r="E8" s="10">
        <f aca="true" t="shared" si="0" ref="E8:E22">SUM(B8:D8)</f>
        <v>16</v>
      </c>
    </row>
    <row r="9" spans="1:5" ht="12.75">
      <c r="A9" t="s">
        <v>106</v>
      </c>
      <c r="B9" s="10">
        <v>16</v>
      </c>
      <c r="C9" s="10">
        <v>0</v>
      </c>
      <c r="D9" s="10">
        <v>0</v>
      </c>
      <c r="E9" s="10">
        <f t="shared" si="0"/>
        <v>16</v>
      </c>
    </row>
    <row r="10" spans="1:7" ht="12.75">
      <c r="A10" t="s">
        <v>105</v>
      </c>
      <c r="B10" s="10">
        <f>E8*2*A4+E9*(6+B4)</f>
        <v>240</v>
      </c>
      <c r="C10" s="10">
        <f>B10*0.05</f>
        <v>12</v>
      </c>
      <c r="D10" s="10">
        <f>0.1*(B10+C10)</f>
        <v>25.200000000000003</v>
      </c>
      <c r="E10" s="10">
        <f t="shared" si="0"/>
        <v>277.2</v>
      </c>
      <c r="F10" s="21">
        <f>20*E10+500</f>
        <v>6044</v>
      </c>
      <c r="G10" s="21">
        <f>25*E10</f>
        <v>6930</v>
      </c>
    </row>
    <row r="11" spans="1:6" ht="12.75">
      <c r="A11" t="s">
        <v>26</v>
      </c>
      <c r="B11" s="10">
        <f>7*E10</f>
        <v>1940.3999999999999</v>
      </c>
      <c r="C11" s="10">
        <v>0</v>
      </c>
      <c r="D11" s="10">
        <f aca="true" t="shared" si="1" ref="D11:D22">0.1*B11</f>
        <v>194.04</v>
      </c>
      <c r="E11" s="10">
        <f t="shared" si="0"/>
        <v>2134.44</v>
      </c>
      <c r="F11" s="21">
        <f>1.5*E11</f>
        <v>3201.66</v>
      </c>
    </row>
    <row r="12" spans="1:7" ht="12.75">
      <c r="A12" t="s">
        <v>107</v>
      </c>
      <c r="B12" s="10">
        <f>2*3*(E8+E9)</f>
        <v>192</v>
      </c>
      <c r="C12" s="10">
        <f>0.1*B12</f>
        <v>19.200000000000003</v>
      </c>
      <c r="D12" s="10">
        <f t="shared" si="1"/>
        <v>19.200000000000003</v>
      </c>
      <c r="E12" s="10">
        <f t="shared" si="0"/>
        <v>230.39999999999998</v>
      </c>
      <c r="F12" s="21">
        <f>20*E12+500</f>
        <v>5108</v>
      </c>
      <c r="G12" s="21">
        <f>5*E12</f>
        <v>1152</v>
      </c>
    </row>
    <row r="13" spans="1:6" ht="12.75">
      <c r="A13" t="s">
        <v>108</v>
      </c>
      <c r="B13" s="10">
        <f>E12</f>
        <v>230.39999999999998</v>
      </c>
      <c r="C13" s="10">
        <f aca="true" t="shared" si="2" ref="C13:C18">0.1*B13</f>
        <v>23.04</v>
      </c>
      <c r="D13" s="10">
        <f t="shared" si="1"/>
        <v>23.04</v>
      </c>
      <c r="E13" s="10">
        <f t="shared" si="0"/>
        <v>276.47999999999996</v>
      </c>
      <c r="F13" s="21">
        <f>10*E13</f>
        <v>2764.7999999999997</v>
      </c>
    </row>
    <row r="14" spans="1:7" ht="12.75">
      <c r="A14" t="s">
        <v>109</v>
      </c>
      <c r="B14" s="10">
        <f>2*3*(E8+E9)</f>
        <v>192</v>
      </c>
      <c r="C14" s="10">
        <f t="shared" si="2"/>
        <v>19.200000000000003</v>
      </c>
      <c r="D14" s="10">
        <f t="shared" si="1"/>
        <v>19.200000000000003</v>
      </c>
      <c r="E14" s="10">
        <f t="shared" si="0"/>
        <v>230.39999999999998</v>
      </c>
      <c r="F14" s="21">
        <f>20*E14+500</f>
        <v>5108</v>
      </c>
      <c r="G14" s="21">
        <f>5*E14</f>
        <v>1152</v>
      </c>
    </row>
    <row r="15" spans="1:7" ht="12.75">
      <c r="A15" t="s">
        <v>117</v>
      </c>
      <c r="B15" s="10">
        <f>3*E9</f>
        <v>48</v>
      </c>
      <c r="C15" s="10">
        <f t="shared" si="2"/>
        <v>4.800000000000001</v>
      </c>
      <c r="D15" s="10">
        <f t="shared" si="1"/>
        <v>4.800000000000001</v>
      </c>
      <c r="E15" s="10">
        <f t="shared" si="0"/>
        <v>57.599999999999994</v>
      </c>
      <c r="F15" s="21">
        <f>50*E15+500</f>
        <v>3379.9999999999995</v>
      </c>
      <c r="G15" s="21">
        <f>10*E15</f>
        <v>576</v>
      </c>
    </row>
    <row r="16" spans="1:6" ht="12.75">
      <c r="A16" t="s">
        <v>110</v>
      </c>
      <c r="B16" s="10">
        <f>E14+2*E15</f>
        <v>345.59999999999997</v>
      </c>
      <c r="C16" s="10">
        <f t="shared" si="2"/>
        <v>34.559999999999995</v>
      </c>
      <c r="D16" s="10">
        <f t="shared" si="1"/>
        <v>34.559999999999995</v>
      </c>
      <c r="E16" s="10">
        <f t="shared" si="0"/>
        <v>414.71999999999997</v>
      </c>
      <c r="F16" s="21">
        <f>10*E16</f>
        <v>4147.2</v>
      </c>
    </row>
    <row r="17" spans="1:7" ht="12.75">
      <c r="A17" t="s">
        <v>111</v>
      </c>
      <c r="B17" s="10">
        <f>2*(E8+E9)</f>
        <v>64</v>
      </c>
      <c r="C17" s="10">
        <f t="shared" si="2"/>
        <v>6.4</v>
      </c>
      <c r="D17" s="10">
        <f t="shared" si="1"/>
        <v>6.4</v>
      </c>
      <c r="E17" s="10">
        <f t="shared" si="0"/>
        <v>76.80000000000001</v>
      </c>
      <c r="F17" s="21">
        <f>100*E17+500</f>
        <v>8180.000000000001</v>
      </c>
      <c r="G17" s="21">
        <f>10*E17</f>
        <v>768.0000000000001</v>
      </c>
    </row>
    <row r="18" spans="1:6" ht="12.75">
      <c r="A18" t="s">
        <v>112</v>
      </c>
      <c r="B18" s="10">
        <f>E17</f>
        <v>76.80000000000001</v>
      </c>
      <c r="C18" s="10">
        <f t="shared" si="2"/>
        <v>7.6800000000000015</v>
      </c>
      <c r="D18" s="10">
        <f t="shared" si="1"/>
        <v>7.6800000000000015</v>
      </c>
      <c r="E18" s="10">
        <f t="shared" si="0"/>
        <v>92.16000000000003</v>
      </c>
      <c r="F18" s="21">
        <f>20*E18</f>
        <v>1843.2000000000005</v>
      </c>
    </row>
    <row r="19" spans="1:15" ht="12.75">
      <c r="A19" t="s">
        <v>113</v>
      </c>
      <c r="B19" s="10">
        <f>E8*A4*13*10+E9*3*13*10+E9*B4*6*10</f>
        <v>15440</v>
      </c>
      <c r="C19" s="10">
        <f>0.2*B19</f>
        <v>3088</v>
      </c>
      <c r="D19" s="10">
        <f t="shared" si="1"/>
        <v>1544</v>
      </c>
      <c r="E19" s="10">
        <f t="shared" si="0"/>
        <v>20072</v>
      </c>
      <c r="F19" s="21">
        <f>E19*0.7</f>
        <v>14050.4</v>
      </c>
      <c r="H19" s="10">
        <f>2*(A4+B4+3)*(20/12)*(E8+E9)</f>
        <v>906.6666666666667</v>
      </c>
      <c r="J19">
        <v>20</v>
      </c>
      <c r="K19">
        <v>0.0406</v>
      </c>
      <c r="L19">
        <v>4</v>
      </c>
      <c r="M19">
        <f>3.14159*K19*K19*30*L19</f>
        <v>0.6214165550879999</v>
      </c>
      <c r="N19" s="10">
        <f>0.9*B19*M19*2.7</f>
        <v>23315.052013657685</v>
      </c>
      <c r="O19" s="10">
        <f>0.1*B19*M19*8.9</f>
        <v>8539.257733397259</v>
      </c>
    </row>
    <row r="20" spans="1:15" ht="12.75">
      <c r="A20" t="s">
        <v>114</v>
      </c>
      <c r="B20" s="10">
        <f>E8*A4*13*10+E9*3*13*10+E9*B4*6*10</f>
        <v>15440</v>
      </c>
      <c r="C20" s="10">
        <f>0.2*B20</f>
        <v>3088</v>
      </c>
      <c r="D20" s="10">
        <f t="shared" si="1"/>
        <v>1544</v>
      </c>
      <c r="E20" s="10">
        <f t="shared" si="0"/>
        <v>20072</v>
      </c>
      <c r="F20" s="21">
        <f>E20*0.6</f>
        <v>12043.199999999999</v>
      </c>
      <c r="H20">
        <f>2*(A4+B4+3)*(10/12)*(E8+E9)</f>
        <v>453.33333333333337</v>
      </c>
      <c r="J20">
        <v>24</v>
      </c>
      <c r="K20">
        <v>0.0255</v>
      </c>
      <c r="L20">
        <v>2</v>
      </c>
      <c r="M20">
        <f>3.14159*K20*K20*30*L20</f>
        <v>0.12256913384999998</v>
      </c>
      <c r="N20" s="10">
        <f>0.9*B20*M20*2.7</f>
        <v>4598.695846744919</v>
      </c>
      <c r="O20" s="10">
        <f>0.1*B20*M20*8.9</f>
        <v>1684.29600971316</v>
      </c>
    </row>
    <row r="21" spans="1:15" ht="12.75">
      <c r="A21" t="s">
        <v>115</v>
      </c>
      <c r="B21" s="10">
        <f>10*B10*9</f>
        <v>21600</v>
      </c>
      <c r="C21" s="10">
        <f>0.2*B21</f>
        <v>4320</v>
      </c>
      <c r="D21" s="10">
        <f t="shared" si="1"/>
        <v>2160</v>
      </c>
      <c r="E21" s="10">
        <f t="shared" si="0"/>
        <v>28080</v>
      </c>
      <c r="F21" s="21">
        <f>E21*0.56</f>
        <v>15724.800000000001</v>
      </c>
      <c r="H21">
        <f>2*(A4+B4+3)*(10/12)*(E8+E9)</f>
        <v>453.33333333333337</v>
      </c>
      <c r="J21">
        <v>34</v>
      </c>
      <c r="K21">
        <v>0.008</v>
      </c>
      <c r="L21">
        <v>5</v>
      </c>
      <c r="M21">
        <f>3.14159*K21*K21*30*L21</f>
        <v>0.030159264</v>
      </c>
      <c r="N21" s="10">
        <f>0.9*B21*M21*2.7</f>
        <v>1582.9994488320003</v>
      </c>
      <c r="O21" s="10">
        <f>0.1*B21*M21*8.9</f>
        <v>579.7816911360001</v>
      </c>
    </row>
    <row r="22" spans="1:15" ht="12.75">
      <c r="A22" t="s">
        <v>118</v>
      </c>
      <c r="B22" s="10">
        <f>E8*A4*13*10+E9*3*13*10+E9*B4*6*10</f>
        <v>15440</v>
      </c>
      <c r="C22" s="10">
        <f>0.2*B22</f>
        <v>3088</v>
      </c>
      <c r="D22" s="10">
        <f t="shared" si="1"/>
        <v>1544</v>
      </c>
      <c r="E22" s="10">
        <f t="shared" si="0"/>
        <v>20072</v>
      </c>
      <c r="F22" s="21">
        <f>E22*0.8</f>
        <v>16057.6</v>
      </c>
      <c r="H22">
        <f>2*(A4+B4+3)*(10/12)*(E8+E9)</f>
        <v>453.33333333333337</v>
      </c>
      <c r="J22">
        <v>34</v>
      </c>
      <c r="K22">
        <v>0.008</v>
      </c>
      <c r="L22">
        <v>2</v>
      </c>
      <c r="M22">
        <f>3.14159*K22*K22*30*L22</f>
        <v>0.0120637056</v>
      </c>
      <c r="N22" s="10">
        <f>0.9*B22*M22*2.7</f>
        <v>452.62058314752005</v>
      </c>
      <c r="O22" s="10">
        <f>0.1*B22*M22*8.9</f>
        <v>165.77461687296002</v>
      </c>
    </row>
    <row r="23" spans="2:15" ht="12.75">
      <c r="B23" s="10"/>
      <c r="C23" s="10"/>
      <c r="D23" s="10"/>
      <c r="E23" s="10"/>
      <c r="N23" s="10">
        <f>SUM(N19:N22)</f>
        <v>29949.367892382124</v>
      </c>
      <c r="O23" s="10">
        <f>SUM(O19:O22)</f>
        <v>10969.11005111938</v>
      </c>
    </row>
    <row r="24" spans="1:8" ht="12.75">
      <c r="A24" t="s">
        <v>119</v>
      </c>
      <c r="B24" s="10"/>
      <c r="C24" s="10"/>
      <c r="D24" s="10"/>
      <c r="E24" s="10"/>
      <c r="F24" s="21">
        <v>10000</v>
      </c>
      <c r="H24">
        <f>10*(E8+E9)</f>
        <v>320</v>
      </c>
    </row>
    <row r="25" spans="1:8" ht="12.75">
      <c r="A25" t="s">
        <v>120</v>
      </c>
      <c r="B25" s="10"/>
      <c r="C25" s="10"/>
      <c r="D25" s="10"/>
      <c r="E25" s="10"/>
      <c r="H25">
        <f>4*(E8+E9)</f>
        <v>128</v>
      </c>
    </row>
    <row r="26" spans="2:13" ht="12.75">
      <c r="B26" s="10"/>
      <c r="C26" s="10"/>
      <c r="D26" s="10"/>
      <c r="E26" s="10"/>
      <c r="M26" s="21"/>
    </row>
    <row r="27" spans="1:8" ht="12.75">
      <c r="A27" t="s">
        <v>69</v>
      </c>
      <c r="B27" s="10"/>
      <c r="C27" s="10"/>
      <c r="D27" s="10"/>
      <c r="E27" s="10"/>
      <c r="F27" s="21">
        <f>SUM(F8:F25)</f>
        <v>107652.86000000002</v>
      </c>
      <c r="G27" s="21">
        <f>SUM(G8:G25)</f>
        <v>10578</v>
      </c>
      <c r="H27" s="10">
        <f>SUM(H8:H25)</f>
        <v>2714.666666666667</v>
      </c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  <row r="36" spans="2:5" ht="12.75">
      <c r="B36" s="10"/>
      <c r="C36" s="10"/>
      <c r="D36" s="10"/>
      <c r="E36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15.8515625" style="0" customWidth="1"/>
    <col min="2" max="3" width="9.140625" style="10" customWidth="1"/>
    <col min="4" max="4" width="10.7109375" style="10" customWidth="1"/>
    <col min="5" max="5" width="9.28125" style="10" customWidth="1"/>
    <col min="6" max="6" width="17.57421875" style="10" customWidth="1"/>
    <col min="7" max="7" width="3.28125" style="0" customWidth="1"/>
    <col min="8" max="9" width="13.421875" style="6" customWidth="1"/>
    <col min="10" max="10" width="13.421875" style="7" customWidth="1"/>
    <col min="11" max="11" width="7.7109375" style="0" customWidth="1"/>
  </cols>
  <sheetData>
    <row r="2" ht="12.75">
      <c r="A2" t="s">
        <v>35</v>
      </c>
    </row>
    <row r="4" ht="12.75">
      <c r="A4" s="5" t="s">
        <v>32</v>
      </c>
    </row>
    <row r="5" ht="12.75">
      <c r="A5" s="3" t="s">
        <v>33</v>
      </c>
    </row>
    <row r="6" spans="1:2" ht="12.75">
      <c r="A6" s="18" t="s">
        <v>93</v>
      </c>
      <c r="B6" s="20">
        <v>0.1</v>
      </c>
    </row>
    <row r="7" ht="12.75">
      <c r="B7" s="20"/>
    </row>
    <row r="8" spans="2:10" ht="12.75">
      <c r="B8" s="10" t="s">
        <v>0</v>
      </c>
      <c r="C8" s="10" t="s">
        <v>1</v>
      </c>
      <c r="D8" s="10" t="s">
        <v>15</v>
      </c>
      <c r="E8" s="10" t="s">
        <v>13</v>
      </c>
      <c r="F8" s="10" t="s">
        <v>14</v>
      </c>
      <c r="H8" s="6" t="s">
        <v>36</v>
      </c>
      <c r="I8" s="6" t="s">
        <v>36</v>
      </c>
      <c r="J8" s="7" t="s">
        <v>37</v>
      </c>
    </row>
    <row r="9" spans="8:10" ht="12.75">
      <c r="H9" s="6" t="s">
        <v>43</v>
      </c>
      <c r="I9" s="6" t="s">
        <v>100</v>
      </c>
      <c r="J9" s="7" t="s">
        <v>43</v>
      </c>
    </row>
    <row r="10" spans="1:6" ht="12.75">
      <c r="A10" t="s">
        <v>2</v>
      </c>
      <c r="B10" s="10">
        <v>2</v>
      </c>
      <c r="C10" s="10">
        <v>0</v>
      </c>
      <c r="D10" s="10">
        <f>B10+C10</f>
        <v>2</v>
      </c>
      <c r="E10" s="10">
        <v>0</v>
      </c>
      <c r="F10" s="10">
        <f>D10+E10</f>
        <v>2</v>
      </c>
    </row>
    <row r="11" spans="1:6" ht="12.75">
      <c r="A11" t="s">
        <v>3</v>
      </c>
      <c r="B11" s="10">
        <v>2</v>
      </c>
      <c r="C11" s="10">
        <v>0</v>
      </c>
      <c r="D11" s="10">
        <f aca="true" t="shared" si="0" ref="D11:D23">B11+C11</f>
        <v>2</v>
      </c>
      <c r="E11" s="10">
        <v>0</v>
      </c>
      <c r="F11" s="10">
        <f aca="true" t="shared" si="1" ref="F11:F37">D11+E11</f>
        <v>2</v>
      </c>
    </row>
    <row r="12" spans="1:6" ht="12.75">
      <c r="A12" t="s">
        <v>92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f t="shared" si="1"/>
        <v>0</v>
      </c>
    </row>
    <row r="13" spans="1:10" ht="12.75">
      <c r="A13" t="s">
        <v>4</v>
      </c>
      <c r="B13" s="10">
        <f>F10*8</f>
        <v>16</v>
      </c>
      <c r="C13" s="10">
        <f>D10*1</f>
        <v>2</v>
      </c>
      <c r="D13" s="10">
        <f t="shared" si="0"/>
        <v>18</v>
      </c>
      <c r="E13" s="10">
        <v>1</v>
      </c>
      <c r="F13" s="10">
        <f t="shared" si="1"/>
        <v>19</v>
      </c>
      <c r="J13" s="7">
        <f>F13*6</f>
        <v>114</v>
      </c>
    </row>
    <row r="14" spans="1:10" ht="12.75">
      <c r="A14" t="s">
        <v>5</v>
      </c>
      <c r="B14" s="10">
        <f>F11*8</f>
        <v>16</v>
      </c>
      <c r="C14" s="10">
        <f>D11*1</f>
        <v>2</v>
      </c>
      <c r="D14" s="10">
        <f t="shared" si="0"/>
        <v>18</v>
      </c>
      <c r="E14" s="10">
        <v>1</v>
      </c>
      <c r="F14" s="10">
        <f t="shared" si="1"/>
        <v>19</v>
      </c>
      <c r="J14" s="7">
        <f>F14*6</f>
        <v>114</v>
      </c>
    </row>
    <row r="15" spans="1:10" ht="12.75">
      <c r="A15" t="s">
        <v>6</v>
      </c>
      <c r="B15" s="10">
        <f>F12*8</f>
        <v>0</v>
      </c>
      <c r="C15" s="10">
        <f>D12*1</f>
        <v>0</v>
      </c>
      <c r="D15" s="10">
        <f t="shared" si="0"/>
        <v>0</v>
      </c>
      <c r="E15" s="10">
        <v>0</v>
      </c>
      <c r="F15" s="10">
        <f t="shared" si="1"/>
        <v>0</v>
      </c>
      <c r="J15" s="7">
        <f>F15*6</f>
        <v>0</v>
      </c>
    </row>
    <row r="16" spans="1:10" ht="12.75">
      <c r="A16" t="s">
        <v>7</v>
      </c>
      <c r="B16" s="10">
        <f>F13*4</f>
        <v>76</v>
      </c>
      <c r="C16" s="10">
        <f aca="true" t="shared" si="2" ref="C16:C21">B16*0.1</f>
        <v>7.6000000000000005</v>
      </c>
      <c r="D16" s="10">
        <f t="shared" si="0"/>
        <v>83.6</v>
      </c>
      <c r="E16" s="10">
        <f aca="true" t="shared" si="3" ref="E16:E21">D16*0.05</f>
        <v>4.18</v>
      </c>
      <c r="F16" s="10">
        <f t="shared" si="1"/>
        <v>87.78</v>
      </c>
      <c r="J16" s="7">
        <f aca="true" t="shared" si="4" ref="J16:J21">F16*3</f>
        <v>263.34000000000003</v>
      </c>
    </row>
    <row r="17" spans="1:10" ht="12.75">
      <c r="A17" t="s">
        <v>8</v>
      </c>
      <c r="B17" s="10">
        <f>F14*4</f>
        <v>76</v>
      </c>
      <c r="C17" s="10">
        <f t="shared" si="2"/>
        <v>7.6000000000000005</v>
      </c>
      <c r="D17" s="10">
        <f t="shared" si="0"/>
        <v>83.6</v>
      </c>
      <c r="E17" s="10">
        <f t="shared" si="3"/>
        <v>4.18</v>
      </c>
      <c r="F17" s="10">
        <f t="shared" si="1"/>
        <v>87.78</v>
      </c>
      <c r="J17" s="7">
        <f t="shared" si="4"/>
        <v>263.34000000000003</v>
      </c>
    </row>
    <row r="18" spans="1:10" ht="12.75">
      <c r="A18" t="s">
        <v>9</v>
      </c>
      <c r="B18" s="10">
        <f>F15*4</f>
        <v>0</v>
      </c>
      <c r="C18" s="10">
        <f t="shared" si="2"/>
        <v>0</v>
      </c>
      <c r="D18" s="10">
        <f t="shared" si="0"/>
        <v>0</v>
      </c>
      <c r="E18" s="10">
        <f t="shared" si="3"/>
        <v>0</v>
      </c>
      <c r="F18" s="10">
        <f t="shared" si="1"/>
        <v>0</v>
      </c>
      <c r="J18" s="7">
        <f t="shared" si="4"/>
        <v>0</v>
      </c>
    </row>
    <row r="19" spans="1:10" ht="12.75">
      <c r="A19" t="s">
        <v>10</v>
      </c>
      <c r="B19" s="10">
        <f>F13*2</f>
        <v>38</v>
      </c>
      <c r="C19" s="10">
        <f t="shared" si="2"/>
        <v>3.8000000000000003</v>
      </c>
      <c r="D19" s="10">
        <f t="shared" si="0"/>
        <v>41.8</v>
      </c>
      <c r="E19" s="10">
        <f t="shared" si="3"/>
        <v>2.09</v>
      </c>
      <c r="F19" s="10">
        <f t="shared" si="1"/>
        <v>43.89</v>
      </c>
      <c r="J19" s="7">
        <f t="shared" si="4"/>
        <v>131.67000000000002</v>
      </c>
    </row>
    <row r="20" spans="1:10" ht="12.75">
      <c r="A20" t="s">
        <v>11</v>
      </c>
      <c r="B20" s="10">
        <f>F14*2</f>
        <v>38</v>
      </c>
      <c r="C20" s="10">
        <f t="shared" si="2"/>
        <v>3.8000000000000003</v>
      </c>
      <c r="D20" s="10">
        <f t="shared" si="0"/>
        <v>41.8</v>
      </c>
      <c r="E20" s="10">
        <f t="shared" si="3"/>
        <v>2.09</v>
      </c>
      <c r="F20" s="10">
        <f t="shared" si="1"/>
        <v>43.89</v>
      </c>
      <c r="J20" s="7">
        <f t="shared" si="4"/>
        <v>131.67000000000002</v>
      </c>
    </row>
    <row r="21" spans="1:10" ht="12.75">
      <c r="A21" t="s">
        <v>12</v>
      </c>
      <c r="B21" s="10">
        <f>F15*2</f>
        <v>0</v>
      </c>
      <c r="C21" s="10">
        <f t="shared" si="2"/>
        <v>0</v>
      </c>
      <c r="D21" s="10">
        <f t="shared" si="0"/>
        <v>0</v>
      </c>
      <c r="E21" s="10">
        <f t="shared" si="3"/>
        <v>0</v>
      </c>
      <c r="F21" s="10">
        <f t="shared" si="1"/>
        <v>0</v>
      </c>
      <c r="J21" s="7">
        <f t="shared" si="4"/>
        <v>0</v>
      </c>
    </row>
    <row r="22" spans="1:10" ht="12.75">
      <c r="A22" s="9" t="s">
        <v>34</v>
      </c>
      <c r="D22" s="15">
        <f>SUM(D16:D21)</f>
        <v>250.8</v>
      </c>
      <c r="J22"/>
    </row>
    <row r="23" spans="1:6" ht="12.75">
      <c r="A23" s="2" t="s">
        <v>16</v>
      </c>
      <c r="B23" s="11">
        <f>SUM(F16:F21)</f>
        <v>263.34</v>
      </c>
      <c r="C23" s="10">
        <v>10</v>
      </c>
      <c r="D23" s="12">
        <f t="shared" si="0"/>
        <v>273.34</v>
      </c>
      <c r="E23" s="14">
        <f>D23*0.1</f>
        <v>27.334</v>
      </c>
      <c r="F23" s="14">
        <f t="shared" si="1"/>
        <v>300.674</v>
      </c>
    </row>
    <row r="24" spans="1:6" ht="12.75">
      <c r="A24" s="2" t="s">
        <v>80</v>
      </c>
      <c r="B24" s="11">
        <f aca="true" t="shared" si="5" ref="B24:B29">F16</f>
        <v>87.78</v>
      </c>
      <c r="C24" s="10">
        <v>4</v>
      </c>
      <c r="D24" s="12">
        <f>B24+C24</f>
        <v>91.78</v>
      </c>
      <c r="E24" s="10">
        <f aca="true" t="shared" si="6" ref="E24:E29">D24*0.2</f>
        <v>18.356</v>
      </c>
      <c r="F24" s="10">
        <f t="shared" si="1"/>
        <v>110.136</v>
      </c>
    </row>
    <row r="25" spans="1:6" ht="12.75">
      <c r="A25" s="2" t="s">
        <v>81</v>
      </c>
      <c r="B25" s="11">
        <f t="shared" si="5"/>
        <v>87.78</v>
      </c>
      <c r="C25" s="10">
        <v>4</v>
      </c>
      <c r="D25" s="12">
        <f aca="true" t="shared" si="7" ref="D25:D44">B25+C25</f>
        <v>91.78</v>
      </c>
      <c r="E25" s="10">
        <f t="shared" si="6"/>
        <v>18.356</v>
      </c>
      <c r="F25" s="10">
        <f t="shared" si="1"/>
        <v>110.136</v>
      </c>
    </row>
    <row r="26" spans="1:6" ht="12.75">
      <c r="A26" s="2" t="s">
        <v>82</v>
      </c>
      <c r="B26" s="11">
        <f t="shared" si="5"/>
        <v>0</v>
      </c>
      <c r="C26" s="10">
        <v>0</v>
      </c>
      <c r="D26" s="12">
        <f t="shared" si="7"/>
        <v>0</v>
      </c>
      <c r="E26" s="10">
        <f t="shared" si="6"/>
        <v>0</v>
      </c>
      <c r="F26" s="10">
        <f t="shared" si="1"/>
        <v>0</v>
      </c>
    </row>
    <row r="27" spans="1:6" ht="12.75">
      <c r="A27" s="2" t="s">
        <v>83</v>
      </c>
      <c r="B27" s="11">
        <f t="shared" si="5"/>
        <v>43.89</v>
      </c>
      <c r="C27" s="10">
        <v>4</v>
      </c>
      <c r="D27" s="12">
        <f t="shared" si="7"/>
        <v>47.89</v>
      </c>
      <c r="E27" s="10">
        <f t="shared" si="6"/>
        <v>9.578000000000001</v>
      </c>
      <c r="F27" s="10">
        <f t="shared" si="1"/>
        <v>57.468</v>
      </c>
    </row>
    <row r="28" spans="1:6" ht="12.75">
      <c r="A28" s="2" t="s">
        <v>84</v>
      </c>
      <c r="B28" s="11">
        <f t="shared" si="5"/>
        <v>43.89</v>
      </c>
      <c r="C28" s="10">
        <v>4</v>
      </c>
      <c r="D28" s="12">
        <f t="shared" si="7"/>
        <v>47.89</v>
      </c>
      <c r="E28" s="10">
        <f t="shared" si="6"/>
        <v>9.578000000000001</v>
      </c>
      <c r="F28" s="10">
        <f t="shared" si="1"/>
        <v>57.468</v>
      </c>
    </row>
    <row r="29" spans="1:6" ht="12.75">
      <c r="A29" s="2" t="s">
        <v>85</v>
      </c>
      <c r="B29" s="11">
        <f t="shared" si="5"/>
        <v>0</v>
      </c>
      <c r="C29" s="10">
        <v>0</v>
      </c>
      <c r="D29" s="12">
        <f t="shared" si="7"/>
        <v>0</v>
      </c>
      <c r="E29" s="10">
        <f t="shared" si="6"/>
        <v>0</v>
      </c>
      <c r="F29" s="10">
        <f t="shared" si="1"/>
        <v>0</v>
      </c>
    </row>
    <row r="30" spans="1:8" ht="12.75">
      <c r="A30" s="3" t="s">
        <v>30</v>
      </c>
      <c r="B30" s="11">
        <f>SUM(D24:D29)</f>
        <v>279.34</v>
      </c>
      <c r="C30" s="10">
        <v>20</v>
      </c>
      <c r="D30" s="13">
        <f t="shared" si="7"/>
        <v>299.34</v>
      </c>
      <c r="H30" s="6">
        <f>D30*10</f>
        <v>2993.3999999999996</v>
      </c>
    </row>
    <row r="31" spans="1:4" ht="12.75">
      <c r="A31" s="3" t="s">
        <v>17</v>
      </c>
      <c r="B31" s="11">
        <f>SUM(F24:F29)</f>
        <v>335.208</v>
      </c>
      <c r="C31" s="10">
        <v>20</v>
      </c>
      <c r="D31" s="13">
        <f t="shared" si="7"/>
        <v>355.208</v>
      </c>
    </row>
    <row r="32" spans="1:10" ht="12.75">
      <c r="A32" s="3" t="s">
        <v>18</v>
      </c>
      <c r="B32" s="11">
        <f aca="true" t="shared" si="8" ref="B32:B37">F24</f>
        <v>110.136</v>
      </c>
      <c r="C32" s="10">
        <v>10</v>
      </c>
      <c r="D32" s="13">
        <f t="shared" si="7"/>
        <v>120.136</v>
      </c>
      <c r="E32" s="10">
        <f aca="true" t="shared" si="9" ref="E32:E37">D32*0.15</f>
        <v>18.0204</v>
      </c>
      <c r="F32" s="10">
        <f t="shared" si="1"/>
        <v>138.1564</v>
      </c>
      <c r="H32" s="6">
        <f aca="true" t="shared" si="10" ref="H32:H37">F32*20</f>
        <v>2763.1279999999997</v>
      </c>
      <c r="J32" s="7">
        <f aca="true" t="shared" si="11" ref="J32:J37">F32*0.15</f>
        <v>20.72346</v>
      </c>
    </row>
    <row r="33" spans="1:10" ht="12.75">
      <c r="A33" s="3" t="s">
        <v>19</v>
      </c>
      <c r="B33" s="11">
        <f t="shared" si="8"/>
        <v>110.136</v>
      </c>
      <c r="C33" s="10">
        <v>10</v>
      </c>
      <c r="D33" s="13">
        <f t="shared" si="7"/>
        <v>120.136</v>
      </c>
      <c r="E33" s="10">
        <f t="shared" si="9"/>
        <v>18.0204</v>
      </c>
      <c r="F33" s="10">
        <f t="shared" si="1"/>
        <v>138.1564</v>
      </c>
      <c r="H33" s="6">
        <f t="shared" si="10"/>
        <v>2763.1279999999997</v>
      </c>
      <c r="J33" s="7">
        <f t="shared" si="11"/>
        <v>20.72346</v>
      </c>
    </row>
    <row r="34" spans="1:10" ht="12.75">
      <c r="A34" s="3" t="s">
        <v>20</v>
      </c>
      <c r="B34" s="11">
        <f t="shared" si="8"/>
        <v>0</v>
      </c>
      <c r="C34" s="10">
        <v>0</v>
      </c>
      <c r="D34" s="13">
        <f t="shared" si="7"/>
        <v>0</v>
      </c>
      <c r="E34" s="10">
        <f t="shared" si="9"/>
        <v>0</v>
      </c>
      <c r="F34" s="10">
        <f t="shared" si="1"/>
        <v>0</v>
      </c>
      <c r="H34" s="6">
        <f t="shared" si="10"/>
        <v>0</v>
      </c>
      <c r="J34" s="7">
        <f t="shared" si="11"/>
        <v>0</v>
      </c>
    </row>
    <row r="35" spans="1:10" ht="12.75">
      <c r="A35" s="3" t="s">
        <v>21</v>
      </c>
      <c r="B35" s="11">
        <f t="shared" si="8"/>
        <v>57.468</v>
      </c>
      <c r="C35" s="10">
        <v>5</v>
      </c>
      <c r="D35" s="13">
        <f t="shared" si="7"/>
        <v>62.468</v>
      </c>
      <c r="E35" s="10">
        <f t="shared" si="9"/>
        <v>9.3702</v>
      </c>
      <c r="F35" s="10">
        <f t="shared" si="1"/>
        <v>71.8382</v>
      </c>
      <c r="H35" s="6">
        <f t="shared" si="10"/>
        <v>1436.7640000000001</v>
      </c>
      <c r="J35" s="7">
        <f t="shared" si="11"/>
        <v>10.77573</v>
      </c>
    </row>
    <row r="36" spans="1:10" ht="12.75">
      <c r="A36" s="3" t="s">
        <v>22</v>
      </c>
      <c r="B36" s="11">
        <f t="shared" si="8"/>
        <v>57.468</v>
      </c>
      <c r="C36" s="10">
        <v>5</v>
      </c>
      <c r="D36" s="13">
        <f t="shared" si="7"/>
        <v>62.468</v>
      </c>
      <c r="E36" s="10">
        <f t="shared" si="9"/>
        <v>9.3702</v>
      </c>
      <c r="F36" s="10">
        <f t="shared" si="1"/>
        <v>71.8382</v>
      </c>
      <c r="H36" s="6">
        <f t="shared" si="10"/>
        <v>1436.7640000000001</v>
      </c>
      <c r="J36" s="7">
        <f t="shared" si="11"/>
        <v>10.77573</v>
      </c>
    </row>
    <row r="37" spans="1:10" ht="12.75">
      <c r="A37" s="3" t="s">
        <v>23</v>
      </c>
      <c r="B37" s="11">
        <f t="shared" si="8"/>
        <v>0</v>
      </c>
      <c r="C37" s="10">
        <v>0</v>
      </c>
      <c r="D37" s="13">
        <f t="shared" si="7"/>
        <v>0</v>
      </c>
      <c r="E37" s="10">
        <f t="shared" si="9"/>
        <v>0</v>
      </c>
      <c r="F37" s="10">
        <f t="shared" si="1"/>
        <v>0</v>
      </c>
      <c r="H37" s="6">
        <f t="shared" si="10"/>
        <v>0</v>
      </c>
      <c r="J37" s="7">
        <f t="shared" si="11"/>
        <v>0</v>
      </c>
    </row>
    <row r="38" spans="1:6" ht="12.75">
      <c r="A38" s="4" t="s">
        <v>29</v>
      </c>
      <c r="B38" s="11">
        <f>SUM(F24:F29)</f>
        <v>335.208</v>
      </c>
      <c r="C38" s="10">
        <v>10</v>
      </c>
      <c r="D38" s="11">
        <f>B38+C38</f>
        <v>345.208</v>
      </c>
      <c r="E38" s="10">
        <f>D38*(0.1+B6)</f>
        <v>69.0416</v>
      </c>
      <c r="F38" s="10">
        <f>D38+E38</f>
        <v>414.24960000000004</v>
      </c>
    </row>
    <row r="39" spans="1:6" ht="12.75">
      <c r="A39" s="4" t="s">
        <v>31</v>
      </c>
      <c r="B39" s="11">
        <f>F38</f>
        <v>414.24960000000004</v>
      </c>
      <c r="C39" s="10">
        <v>10</v>
      </c>
      <c r="D39" s="11">
        <f>B39+C39</f>
        <v>424.24960000000004</v>
      </c>
      <c r="E39" s="10">
        <f>D39*0.05</f>
        <v>21.212480000000003</v>
      </c>
      <c r="F39" s="10">
        <f>D39+E39</f>
        <v>445.46208000000007</v>
      </c>
    </row>
    <row r="40" spans="1:4" ht="12.75">
      <c r="A40" s="3" t="s">
        <v>27</v>
      </c>
      <c r="B40" s="11">
        <f>F39</f>
        <v>445.46208000000007</v>
      </c>
      <c r="C40" s="10">
        <v>11</v>
      </c>
      <c r="D40" s="13">
        <f>B40+C40</f>
        <v>456.46208000000007</v>
      </c>
    </row>
    <row r="41" spans="1:4" ht="12.75">
      <c r="A41" s="3" t="s">
        <v>28</v>
      </c>
      <c r="B41" s="11">
        <f>F39</f>
        <v>445.46208000000007</v>
      </c>
      <c r="C41" s="10">
        <f>B41*0.1</f>
        <v>44.54620800000001</v>
      </c>
      <c r="D41" s="13">
        <f>B41+C41</f>
        <v>490.0082880000001</v>
      </c>
    </row>
    <row r="42" spans="1:9" ht="12.75">
      <c r="A42" s="2" t="s">
        <v>24</v>
      </c>
      <c r="B42" s="11">
        <f>SUM(F32:F34)</f>
        <v>276.3128</v>
      </c>
      <c r="C42" s="10">
        <f>B42*0.1</f>
        <v>27.63128</v>
      </c>
      <c r="D42" s="12">
        <f t="shared" si="7"/>
        <v>303.94408</v>
      </c>
      <c r="I42" s="6">
        <v>11000</v>
      </c>
    </row>
    <row r="43" spans="1:9" ht="12.75">
      <c r="A43" s="2" t="s">
        <v>25</v>
      </c>
      <c r="B43" s="11">
        <f>SUM(F35:F37)</f>
        <v>143.6764</v>
      </c>
      <c r="C43" s="10">
        <f>B43*0.1</f>
        <v>14.367640000000002</v>
      </c>
      <c r="D43" s="12">
        <f t="shared" si="7"/>
        <v>158.04404</v>
      </c>
      <c r="I43" s="6">
        <v>6750</v>
      </c>
    </row>
    <row r="44" spans="1:8" ht="12.75">
      <c r="A44" s="2" t="s">
        <v>26</v>
      </c>
      <c r="B44" s="11">
        <f>SUM(F32:F37)</f>
        <v>419.9892</v>
      </c>
      <c r="C44" s="10">
        <f>B44*0.1</f>
        <v>41.99892</v>
      </c>
      <c r="D44" s="12">
        <f t="shared" si="7"/>
        <v>461.98812</v>
      </c>
      <c r="H44" s="6">
        <v>1500</v>
      </c>
    </row>
    <row r="45" spans="1:8" ht="12.75">
      <c r="A45" s="2" t="s">
        <v>38</v>
      </c>
      <c r="B45" s="10">
        <f>(D42+D43)*4</f>
        <v>1847.95248</v>
      </c>
      <c r="D45" s="12">
        <v>2000</v>
      </c>
      <c r="H45" s="6">
        <f>D45*0.8</f>
        <v>1600</v>
      </c>
    </row>
    <row r="46" spans="1:8" ht="12.75">
      <c r="A46" s="2" t="s">
        <v>39</v>
      </c>
      <c r="B46" s="10">
        <f>(D42+D43)*1.5</f>
        <v>692.98218</v>
      </c>
      <c r="D46" s="12">
        <v>1000</v>
      </c>
      <c r="H46" s="6">
        <f>D46*1.2</f>
        <v>1200</v>
      </c>
    </row>
    <row r="47" spans="1:8" ht="12.75">
      <c r="A47" s="2" t="s">
        <v>40</v>
      </c>
      <c r="B47" s="10">
        <f>(D42+D43)*0.75</f>
        <v>346.49109</v>
      </c>
      <c r="D47" s="12">
        <v>1000</v>
      </c>
      <c r="H47" s="6">
        <f>D47*1.2</f>
        <v>1200</v>
      </c>
    </row>
    <row r="48" spans="1:8" ht="12.75">
      <c r="A48" s="2" t="s">
        <v>41</v>
      </c>
      <c r="B48" s="10">
        <f>(D42+D43)</f>
        <v>461.98812</v>
      </c>
      <c r="C48" s="10">
        <v>30</v>
      </c>
      <c r="D48" s="12">
        <f>B48+C48</f>
        <v>491.98812</v>
      </c>
      <c r="H48" s="6">
        <f>D48*5+500</f>
        <v>2959.9406</v>
      </c>
    </row>
    <row r="49" spans="1:4" ht="12.75">
      <c r="A49" s="2"/>
      <c r="D49" s="12"/>
    </row>
    <row r="50" spans="1:10" ht="12.75">
      <c r="A50" s="2"/>
      <c r="D50" s="12"/>
      <c r="F50" s="10" t="s">
        <v>99</v>
      </c>
      <c r="H50" s="6">
        <f>SUM(H10:H49)</f>
        <v>19853.124599999996</v>
      </c>
      <c r="I50" s="6">
        <f>SUM(I10:I49)</f>
        <v>17750</v>
      </c>
      <c r="J50" s="7">
        <f>SUM(J10:J49)</f>
        <v>1081.0183800000002</v>
      </c>
    </row>
    <row r="51" spans="1:4" ht="12.75">
      <c r="A51" s="2" t="s">
        <v>86</v>
      </c>
      <c r="B51" s="10">
        <f>F23*16</f>
        <v>4810.784</v>
      </c>
      <c r="C51" s="10">
        <f>F23*17</f>
        <v>5111.458</v>
      </c>
      <c r="D51" s="11"/>
    </row>
    <row r="52" spans="1:4" ht="12.75">
      <c r="A52" s="2" t="s">
        <v>87</v>
      </c>
      <c r="B52" s="10">
        <f>C51*1.05</f>
        <v>5367.0309</v>
      </c>
      <c r="D52" s="12"/>
    </row>
    <row r="53" spans="1:2" ht="12.75">
      <c r="A53" s="2" t="s">
        <v>88</v>
      </c>
      <c r="B53" s="10">
        <f>B52*1.05</f>
        <v>5635.382445</v>
      </c>
    </row>
    <row r="54" spans="1:2" ht="12.75">
      <c r="A54" s="2" t="s">
        <v>89</v>
      </c>
      <c r="B54" s="10">
        <f>B53*1.1</f>
        <v>6198.920689500001</v>
      </c>
    </row>
    <row r="55" spans="1:2" ht="12.75">
      <c r="A55" s="2" t="s">
        <v>90</v>
      </c>
      <c r="B55" s="10">
        <f>B54/300</f>
        <v>20.663068965</v>
      </c>
    </row>
    <row r="56" spans="1:2" ht="12.75">
      <c r="A56" s="2" t="s">
        <v>91</v>
      </c>
      <c r="B56" s="10">
        <f>B55/0.5</f>
        <v>41.32613793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5">
      <selection activeCell="H23" sqref="H23"/>
    </sheetView>
  </sheetViews>
  <sheetFormatPr defaultColWidth="9.140625" defaultRowHeight="12.75"/>
  <cols>
    <col min="1" max="1" width="18.00390625" style="0" customWidth="1"/>
    <col min="4" max="4" width="10.57421875" style="0" customWidth="1"/>
    <col min="6" max="6" width="16.00390625" style="0" customWidth="1"/>
    <col min="7" max="7" width="3.140625" style="0" customWidth="1"/>
    <col min="8" max="8" width="13.28125" style="0" customWidth="1"/>
    <col min="9" max="9" width="13.8515625" style="0" customWidth="1"/>
  </cols>
  <sheetData>
    <row r="1" spans="1:9" ht="12.75">
      <c r="A1" s="10"/>
      <c r="B1" s="10"/>
      <c r="C1" s="10"/>
      <c r="D1" s="10"/>
      <c r="E1" s="10"/>
      <c r="F1" s="10"/>
      <c r="H1" s="6"/>
      <c r="I1" s="7"/>
    </row>
    <row r="2" spans="1:9" ht="12.75">
      <c r="A2" s="10" t="s">
        <v>47</v>
      </c>
      <c r="B2" s="10"/>
      <c r="C2" s="10"/>
      <c r="D2" s="10"/>
      <c r="E2" s="10"/>
      <c r="F2" s="10"/>
      <c r="H2" s="6"/>
      <c r="I2" s="7"/>
    </row>
    <row r="3" spans="1:9" ht="12.75">
      <c r="A3" s="10" t="s">
        <v>46</v>
      </c>
      <c r="B3" s="10"/>
      <c r="C3" s="10"/>
      <c r="D3" s="10"/>
      <c r="E3" s="10"/>
      <c r="F3" s="10"/>
      <c r="H3" s="6"/>
      <c r="I3" s="7"/>
    </row>
    <row r="4" spans="1:9" ht="12.75">
      <c r="A4" s="10"/>
      <c r="B4" s="10"/>
      <c r="C4" s="10"/>
      <c r="D4" s="10"/>
      <c r="E4" s="10"/>
      <c r="F4" s="10"/>
      <c r="H4" s="6"/>
      <c r="I4" s="7"/>
    </row>
    <row r="5" spans="1:9" ht="12.75">
      <c r="A5" s="17" t="s">
        <v>32</v>
      </c>
      <c r="B5" s="10"/>
      <c r="C5" s="10"/>
      <c r="D5" s="10"/>
      <c r="E5" s="10"/>
      <c r="F5" s="10"/>
      <c r="H5" s="6"/>
      <c r="I5" s="7"/>
    </row>
    <row r="6" spans="1:9" ht="12.75">
      <c r="A6" s="18" t="s">
        <v>33</v>
      </c>
      <c r="B6" s="10"/>
      <c r="C6" s="10"/>
      <c r="D6" s="10"/>
      <c r="E6" s="10"/>
      <c r="F6" s="10"/>
      <c r="H6" s="6"/>
      <c r="I6" s="7"/>
    </row>
    <row r="7" spans="1:9" ht="12.75">
      <c r="A7" s="18" t="s">
        <v>93</v>
      </c>
      <c r="B7" s="20">
        <v>0.2</v>
      </c>
      <c r="C7" s="10"/>
      <c r="D7" s="10"/>
      <c r="E7" s="10"/>
      <c r="F7" s="10"/>
      <c r="H7" s="6"/>
      <c r="I7" s="7"/>
    </row>
    <row r="8" spans="1:9" ht="12.75">
      <c r="A8" s="10"/>
      <c r="B8" s="10"/>
      <c r="C8" s="10"/>
      <c r="D8" s="10"/>
      <c r="E8" s="10"/>
      <c r="F8" s="10"/>
      <c r="H8" s="6"/>
      <c r="I8" s="7"/>
    </row>
    <row r="9" spans="1:9" ht="12.75">
      <c r="A9" s="10"/>
      <c r="B9" s="10" t="s">
        <v>0</v>
      </c>
      <c r="C9" s="10" t="s">
        <v>1</v>
      </c>
      <c r="D9" s="10" t="s">
        <v>15</v>
      </c>
      <c r="E9" s="10" t="s">
        <v>13</v>
      </c>
      <c r="F9" s="10" t="s">
        <v>14</v>
      </c>
      <c r="H9" s="6" t="s">
        <v>36</v>
      </c>
      <c r="I9" s="7" t="s">
        <v>37</v>
      </c>
    </row>
    <row r="10" spans="1:9" ht="12.75">
      <c r="A10" s="10"/>
      <c r="B10" s="10"/>
      <c r="C10" s="10"/>
      <c r="D10" s="10"/>
      <c r="E10" s="10"/>
      <c r="F10" s="10"/>
      <c r="H10" s="6" t="s">
        <v>45</v>
      </c>
      <c r="I10" s="7" t="s">
        <v>45</v>
      </c>
    </row>
    <row r="11" spans="1:9" ht="12.75">
      <c r="A11" s="10"/>
      <c r="B11" s="10"/>
      <c r="C11" s="10"/>
      <c r="D11" s="10"/>
      <c r="E11" s="10"/>
      <c r="F11" s="10"/>
      <c r="H11" s="6"/>
      <c r="I11" s="7"/>
    </row>
    <row r="12" spans="1:9" ht="12.75">
      <c r="A12" s="10" t="s">
        <v>4</v>
      </c>
      <c r="B12" s="10">
        <v>3</v>
      </c>
      <c r="C12" s="10">
        <v>0</v>
      </c>
      <c r="D12" s="10">
        <f>B12+C12</f>
        <v>3</v>
      </c>
      <c r="E12" s="10">
        <v>0</v>
      </c>
      <c r="F12" s="10">
        <f>D12+E12</f>
        <v>3</v>
      </c>
      <c r="H12" s="6"/>
      <c r="I12" s="7">
        <f>F12*6</f>
        <v>18</v>
      </c>
    </row>
    <row r="13" spans="1:9" ht="12.75">
      <c r="A13" s="10" t="s">
        <v>7</v>
      </c>
      <c r="B13" s="10">
        <f>F12*4</f>
        <v>12</v>
      </c>
      <c r="C13" s="10">
        <v>10</v>
      </c>
      <c r="D13" s="10">
        <f>B13+C13</f>
        <v>22</v>
      </c>
      <c r="E13" s="10">
        <f>0.05*80</f>
        <v>4</v>
      </c>
      <c r="F13" s="10">
        <f>D13+E13</f>
        <v>26</v>
      </c>
      <c r="H13" s="6"/>
      <c r="I13" s="7">
        <f>F13*3</f>
        <v>78</v>
      </c>
    </row>
    <row r="14" spans="1:9" ht="12.75">
      <c r="A14" s="10" t="s">
        <v>10</v>
      </c>
      <c r="B14" s="10">
        <f>F12*2</f>
        <v>6</v>
      </c>
      <c r="C14" s="10">
        <v>8</v>
      </c>
      <c r="D14" s="10">
        <f>B14+C14</f>
        <v>14</v>
      </c>
      <c r="E14" s="10">
        <f>0.05*80</f>
        <v>4</v>
      </c>
      <c r="F14" s="10">
        <f>D14+E14</f>
        <v>18</v>
      </c>
      <c r="H14" s="6"/>
      <c r="I14" s="7">
        <f>F14*3</f>
        <v>54</v>
      </c>
    </row>
    <row r="15" spans="1:9" ht="12.75">
      <c r="A15" s="10" t="s">
        <v>44</v>
      </c>
      <c r="B15" s="10"/>
      <c r="C15" s="10"/>
      <c r="D15" s="10">
        <f>SUM(D13:D14)</f>
        <v>36</v>
      </c>
      <c r="E15" s="10"/>
      <c r="F15" s="10"/>
      <c r="H15" s="6"/>
      <c r="I15">
        <f>SUM(I13:I14)</f>
        <v>132</v>
      </c>
    </row>
    <row r="16" spans="1:9" ht="12.75">
      <c r="A16" s="19" t="s">
        <v>16</v>
      </c>
      <c r="B16" s="11">
        <f>SUM(F13:F14)</f>
        <v>44</v>
      </c>
      <c r="C16" s="10">
        <v>5</v>
      </c>
      <c r="D16" s="12">
        <f aca="true" t="shared" si="0" ref="D16:D29">B16+C16</f>
        <v>49</v>
      </c>
      <c r="E16" s="10">
        <f>D16*0.1</f>
        <v>4.9</v>
      </c>
      <c r="F16" s="10">
        <f>D16+E16</f>
        <v>53.9</v>
      </c>
      <c r="H16" s="6"/>
      <c r="I16" s="7"/>
    </row>
    <row r="17" spans="1:9" ht="12.75">
      <c r="A17" s="19" t="s">
        <v>80</v>
      </c>
      <c r="B17" s="11">
        <f>F13</f>
        <v>26</v>
      </c>
      <c r="C17" s="10">
        <v>5</v>
      </c>
      <c r="D17" s="12">
        <f t="shared" si="0"/>
        <v>31</v>
      </c>
      <c r="E17" s="10">
        <f>D17*0.2</f>
        <v>6.2</v>
      </c>
      <c r="F17" s="10">
        <f>D17+E17</f>
        <v>37.2</v>
      </c>
      <c r="H17" s="6"/>
      <c r="I17" s="7"/>
    </row>
    <row r="18" spans="1:9" ht="12.75">
      <c r="A18" s="19" t="s">
        <v>83</v>
      </c>
      <c r="B18" s="11">
        <f>F14</f>
        <v>18</v>
      </c>
      <c r="C18" s="10">
        <v>5</v>
      </c>
      <c r="D18" s="12">
        <f t="shared" si="0"/>
        <v>23</v>
      </c>
      <c r="E18" s="10">
        <f>D18*0.2</f>
        <v>4.6000000000000005</v>
      </c>
      <c r="F18" s="10">
        <f>D18+E18</f>
        <v>27.6</v>
      </c>
      <c r="H18" s="6"/>
      <c r="I18" s="7"/>
    </row>
    <row r="19" spans="1:9" ht="12.75">
      <c r="A19" s="18" t="s">
        <v>30</v>
      </c>
      <c r="B19" s="11">
        <f>SUM(D17:D18)</f>
        <v>54</v>
      </c>
      <c r="C19" s="10">
        <v>10</v>
      </c>
      <c r="D19" s="13">
        <f t="shared" si="0"/>
        <v>64</v>
      </c>
      <c r="E19" s="10"/>
      <c r="F19" s="10"/>
      <c r="H19" s="6">
        <v>1000</v>
      </c>
      <c r="I19" s="7"/>
    </row>
    <row r="20" spans="1:9" ht="12.75">
      <c r="A20" s="18" t="s">
        <v>17</v>
      </c>
      <c r="B20" s="11">
        <f>SUM(F17:F18)</f>
        <v>64.80000000000001</v>
      </c>
      <c r="C20" s="10">
        <v>10</v>
      </c>
      <c r="D20" s="13">
        <f t="shared" si="0"/>
        <v>74.80000000000001</v>
      </c>
      <c r="E20" s="10"/>
      <c r="F20" s="10"/>
      <c r="H20" s="6"/>
      <c r="I20" s="7"/>
    </row>
    <row r="21" spans="1:9" ht="12.75">
      <c r="A21" s="18" t="s">
        <v>18</v>
      </c>
      <c r="B21" s="11">
        <f>F17</f>
        <v>37.2</v>
      </c>
      <c r="C21" s="10">
        <v>5</v>
      </c>
      <c r="D21" s="13">
        <f t="shared" si="0"/>
        <v>42.2</v>
      </c>
      <c r="E21" s="10">
        <f>D21*0.15</f>
        <v>6.33</v>
      </c>
      <c r="F21" s="10">
        <f>D21+E21</f>
        <v>48.53</v>
      </c>
      <c r="H21" s="6">
        <f>F21*20</f>
        <v>970.6</v>
      </c>
      <c r="I21" s="7">
        <f>F21*0.5</f>
        <v>24.265</v>
      </c>
    </row>
    <row r="22" spans="1:9" ht="12.75">
      <c r="A22" s="18" t="s">
        <v>21</v>
      </c>
      <c r="B22" s="11">
        <f>F18</f>
        <v>27.6</v>
      </c>
      <c r="C22" s="10">
        <v>5</v>
      </c>
      <c r="D22" s="13">
        <f t="shared" si="0"/>
        <v>32.6</v>
      </c>
      <c r="E22" s="10">
        <f>D22*0.15</f>
        <v>4.89</v>
      </c>
      <c r="F22" s="10">
        <f>D22+E22</f>
        <v>37.49</v>
      </c>
      <c r="H22" s="6">
        <f>F22*20</f>
        <v>749.8000000000001</v>
      </c>
      <c r="I22" s="7">
        <f>F22*0.5</f>
        <v>18.745</v>
      </c>
    </row>
    <row r="23" spans="1:9" ht="12.75">
      <c r="A23" s="11" t="s">
        <v>29</v>
      </c>
      <c r="B23" s="11">
        <f>SUM(F17:F18)</f>
        <v>64.80000000000001</v>
      </c>
      <c r="C23" s="10">
        <v>5</v>
      </c>
      <c r="D23" s="11">
        <f t="shared" si="0"/>
        <v>69.80000000000001</v>
      </c>
      <c r="E23" s="10">
        <f>D23*(0.1+B7)</f>
        <v>20.940000000000005</v>
      </c>
      <c r="F23" s="10">
        <f>D23+E23</f>
        <v>90.74000000000001</v>
      </c>
      <c r="H23" s="6"/>
      <c r="I23" s="7"/>
    </row>
    <row r="24" spans="1:9" ht="12.75">
      <c r="A24" s="11" t="s">
        <v>31</v>
      </c>
      <c r="B24" s="11">
        <f>F23</f>
        <v>90.74000000000001</v>
      </c>
      <c r="C24" s="10">
        <v>5</v>
      </c>
      <c r="D24" s="11">
        <f t="shared" si="0"/>
        <v>95.74000000000001</v>
      </c>
      <c r="E24" s="10">
        <f>D24*0.05</f>
        <v>4.787000000000001</v>
      </c>
      <c r="F24" s="10">
        <f>D24+E24</f>
        <v>100.52700000000002</v>
      </c>
      <c r="H24" s="6"/>
      <c r="I24" s="7"/>
    </row>
    <row r="25" spans="1:9" ht="12.75">
      <c r="A25" s="18" t="s">
        <v>27</v>
      </c>
      <c r="B25" s="11">
        <f>F24</f>
        <v>100.52700000000002</v>
      </c>
      <c r="C25" s="10">
        <v>10</v>
      </c>
      <c r="D25" s="13">
        <f t="shared" si="0"/>
        <v>110.52700000000002</v>
      </c>
      <c r="E25" s="10"/>
      <c r="F25" s="10"/>
      <c r="H25" s="6"/>
      <c r="I25" s="7"/>
    </row>
    <row r="26" spans="1:9" ht="12.75">
      <c r="A26" s="18" t="s">
        <v>28</v>
      </c>
      <c r="B26" s="11">
        <f>F24</f>
        <v>100.52700000000002</v>
      </c>
      <c r="C26" s="10">
        <v>20</v>
      </c>
      <c r="D26" s="13">
        <f t="shared" si="0"/>
        <v>120.52700000000002</v>
      </c>
      <c r="E26" s="10"/>
      <c r="F26" s="10"/>
      <c r="H26" s="6"/>
      <c r="I26" s="7"/>
    </row>
    <row r="27" spans="1:9" ht="12.75">
      <c r="A27" s="19" t="s">
        <v>24</v>
      </c>
      <c r="B27" s="11">
        <f>SUM(F21:F21)</f>
        <v>48.53</v>
      </c>
      <c r="C27" s="10">
        <v>10</v>
      </c>
      <c r="D27" s="12">
        <f t="shared" si="0"/>
        <v>58.53</v>
      </c>
      <c r="E27" s="10"/>
      <c r="F27" s="10"/>
      <c r="H27" s="6">
        <v>2300</v>
      </c>
      <c r="I27" s="7"/>
    </row>
    <row r="28" spans="1:9" ht="12.75">
      <c r="A28" s="19" t="s">
        <v>25</v>
      </c>
      <c r="B28" s="11">
        <f>SUM(F22:F22)</f>
        <v>37.49</v>
      </c>
      <c r="C28" s="10">
        <v>10</v>
      </c>
      <c r="D28" s="12">
        <f t="shared" si="0"/>
        <v>47.49</v>
      </c>
      <c r="E28" s="10"/>
      <c r="F28" s="10"/>
      <c r="H28" s="6">
        <v>1200</v>
      </c>
      <c r="I28" s="7"/>
    </row>
    <row r="29" spans="1:9" ht="12.75">
      <c r="A29" s="19" t="s">
        <v>26</v>
      </c>
      <c r="B29" s="11">
        <f>SUM(F21:F22)</f>
        <v>86.02000000000001</v>
      </c>
      <c r="C29" s="10">
        <v>25</v>
      </c>
      <c r="D29" s="12">
        <f t="shared" si="0"/>
        <v>111.02000000000001</v>
      </c>
      <c r="E29" s="10"/>
      <c r="F29" s="10"/>
      <c r="H29" s="6">
        <v>0</v>
      </c>
      <c r="I29" s="7"/>
    </row>
    <row r="30" spans="1:9" ht="12.75">
      <c r="A30" s="19" t="s">
        <v>38</v>
      </c>
      <c r="B30" s="10">
        <f>(D27+D28)*4</f>
        <v>424.08000000000004</v>
      </c>
      <c r="C30" s="10"/>
      <c r="D30" s="12">
        <v>1000</v>
      </c>
      <c r="E30" s="10"/>
      <c r="F30" s="10"/>
      <c r="H30" s="6">
        <f>D30*1.2</f>
        <v>1200</v>
      </c>
      <c r="I30" s="7"/>
    </row>
    <row r="31" spans="1:9" ht="12.75">
      <c r="A31" s="19" t="s">
        <v>39</v>
      </c>
      <c r="B31" s="10">
        <f>(D27+D28)*1.5</f>
        <v>159.03000000000003</v>
      </c>
      <c r="C31" s="10"/>
      <c r="D31" s="12">
        <v>1000</v>
      </c>
      <c r="E31" s="10"/>
      <c r="F31" s="10"/>
      <c r="H31" s="6">
        <f>D31*1.2</f>
        <v>1200</v>
      </c>
      <c r="I31" s="7"/>
    </row>
    <row r="32" spans="1:9" ht="12.75">
      <c r="A32" s="19" t="s">
        <v>40</v>
      </c>
      <c r="B32" s="10">
        <f>(D27+D28)*0.75</f>
        <v>79.51500000000001</v>
      </c>
      <c r="C32" s="10"/>
      <c r="D32" s="12">
        <v>1000</v>
      </c>
      <c r="E32" s="10"/>
      <c r="F32" s="10"/>
      <c r="H32" s="6">
        <f>D32*1.2</f>
        <v>1200</v>
      </c>
      <c r="I32" s="7"/>
    </row>
    <row r="33" spans="1:9" ht="12.75">
      <c r="A33" s="19" t="s">
        <v>41</v>
      </c>
      <c r="B33" s="10">
        <f>(D27+D28)</f>
        <v>106.02000000000001</v>
      </c>
      <c r="C33" s="10">
        <v>30</v>
      </c>
      <c r="D33" s="12">
        <f>B33+C33</f>
        <v>136.02</v>
      </c>
      <c r="E33" s="10"/>
      <c r="F33" s="10"/>
      <c r="H33" s="6">
        <f>D33*5+500</f>
        <v>1180.1</v>
      </c>
      <c r="I33" s="7"/>
    </row>
    <row r="34" spans="8:9" ht="12.75">
      <c r="H34" s="6"/>
      <c r="I34" s="7"/>
    </row>
    <row r="35" spans="1:9" ht="12.75">
      <c r="A35" s="4" t="s">
        <v>42</v>
      </c>
      <c r="H35" s="6">
        <f>SUM(H11:H34)</f>
        <v>11000.5</v>
      </c>
      <c r="I35" s="7">
        <f>SUM(I11:I34)</f>
        <v>325.01</v>
      </c>
    </row>
    <row r="37" spans="1:3" ht="12.75">
      <c r="A37" s="2" t="s">
        <v>86</v>
      </c>
      <c r="B37" s="10">
        <f>F16*16</f>
        <v>862.4</v>
      </c>
      <c r="C37" s="10">
        <f>F16*17</f>
        <v>916.3</v>
      </c>
    </row>
    <row r="38" spans="1:3" ht="12.75">
      <c r="A38" s="2" t="s">
        <v>87</v>
      </c>
      <c r="B38" s="10">
        <f>C37*1.05</f>
        <v>962.115</v>
      </c>
      <c r="C38" s="10"/>
    </row>
    <row r="39" spans="1:3" ht="12.75">
      <c r="A39" s="2" t="s">
        <v>88</v>
      </c>
      <c r="B39" s="10">
        <f>B38*1.05</f>
        <v>1010.2207500000001</v>
      </c>
      <c r="C39" s="10"/>
    </row>
    <row r="40" spans="1:3" ht="12.75">
      <c r="A40" s="2" t="s">
        <v>89</v>
      </c>
      <c r="B40" s="10">
        <f>B39*1.1</f>
        <v>1111.2428250000003</v>
      </c>
      <c r="C40" s="10"/>
    </row>
    <row r="41" spans="1:3" ht="12.75">
      <c r="A41" s="2" t="s">
        <v>90</v>
      </c>
      <c r="B41" s="10">
        <f>B40/225</f>
        <v>4.938857000000001</v>
      </c>
      <c r="C41" s="10"/>
    </row>
    <row r="42" spans="1:3" ht="12.75">
      <c r="A42" s="2" t="s">
        <v>91</v>
      </c>
      <c r="B42" s="10">
        <f>B41/0.5</f>
        <v>9.877714000000003</v>
      </c>
      <c r="C42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12" sqref="B12"/>
    </sheetView>
  </sheetViews>
  <sheetFormatPr defaultColWidth="9.140625" defaultRowHeight="12.75"/>
  <cols>
    <col min="1" max="1" width="31.421875" style="0" customWidth="1"/>
    <col min="2" max="2" width="5.28125" style="0" customWidth="1"/>
    <col min="3" max="3" width="10.7109375" style="0" customWidth="1"/>
    <col min="4" max="4" width="5.8515625" style="0" customWidth="1"/>
    <col min="5" max="5" width="13.140625" style="0" customWidth="1"/>
    <col min="6" max="6" width="4.7109375" style="0" customWidth="1"/>
    <col min="7" max="7" width="5.7109375" style="0" customWidth="1"/>
    <col min="8" max="9" width="7.7109375" style="0" customWidth="1"/>
    <col min="11" max="11" width="11.140625" style="0" customWidth="1"/>
  </cols>
  <sheetData>
    <row r="1" ht="12.75">
      <c r="A1" s="8" t="s">
        <v>48</v>
      </c>
    </row>
    <row r="2" ht="12.75">
      <c r="A2" t="s">
        <v>49</v>
      </c>
    </row>
    <row r="3" ht="12.75">
      <c r="A3" t="s">
        <v>96</v>
      </c>
    </row>
    <row r="5" spans="2:11" ht="12.75"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95</v>
      </c>
      <c r="J5" t="s">
        <v>57</v>
      </c>
      <c r="K5" t="s">
        <v>58</v>
      </c>
    </row>
    <row r="6" spans="1:2" ht="12.75">
      <c r="A6" t="s">
        <v>59</v>
      </c>
      <c r="B6">
        <v>18</v>
      </c>
    </row>
    <row r="7" spans="1:4" ht="12.75">
      <c r="A7" t="s">
        <v>60</v>
      </c>
      <c r="C7">
        <v>16</v>
      </c>
      <c r="D7">
        <v>8</v>
      </c>
    </row>
    <row r="8" spans="1:11" ht="12.75">
      <c r="A8" t="s">
        <v>61</v>
      </c>
      <c r="E8">
        <v>40</v>
      </c>
      <c r="F8">
        <v>16</v>
      </c>
      <c r="K8">
        <v>600</v>
      </c>
    </row>
    <row r="9" spans="1:11" ht="12.75">
      <c r="A9" t="s">
        <v>62</v>
      </c>
      <c r="F9">
        <v>24</v>
      </c>
      <c r="K9">
        <v>600</v>
      </c>
    </row>
    <row r="10" spans="1:9" ht="12.75">
      <c r="A10" t="s">
        <v>63</v>
      </c>
      <c r="G10">
        <v>20</v>
      </c>
      <c r="H10">
        <v>20</v>
      </c>
      <c r="I10">
        <v>40</v>
      </c>
    </row>
    <row r="11" spans="1:9" ht="12.75">
      <c r="A11" t="s">
        <v>64</v>
      </c>
      <c r="I11">
        <v>80</v>
      </c>
    </row>
    <row r="12" spans="1:11" ht="12.75">
      <c r="A12" t="s">
        <v>65</v>
      </c>
      <c r="K12">
        <v>3000</v>
      </c>
    </row>
    <row r="13" spans="1:6" ht="12.75">
      <c r="A13" t="s">
        <v>66</v>
      </c>
      <c r="C13">
        <v>16</v>
      </c>
      <c r="F13">
        <v>40</v>
      </c>
    </row>
    <row r="14" spans="1:11" ht="12.75">
      <c r="A14" t="s">
        <v>71</v>
      </c>
      <c r="G14">
        <v>80</v>
      </c>
      <c r="K14">
        <v>1000</v>
      </c>
    </row>
    <row r="15" spans="1:9" ht="12.75">
      <c r="A15" t="s">
        <v>67</v>
      </c>
      <c r="C15">
        <v>40</v>
      </c>
      <c r="G15">
        <v>40</v>
      </c>
      <c r="H15">
        <v>20</v>
      </c>
      <c r="I15">
        <v>40</v>
      </c>
    </row>
    <row r="16" spans="1:11" ht="12.75">
      <c r="A16" t="s">
        <v>70</v>
      </c>
      <c r="K16">
        <v>5000</v>
      </c>
    </row>
    <row r="17" spans="1:10" ht="12.75">
      <c r="A17" s="4" t="s">
        <v>68</v>
      </c>
      <c r="G17">
        <v>20</v>
      </c>
      <c r="H17">
        <v>20</v>
      </c>
      <c r="I17">
        <v>280</v>
      </c>
      <c r="J17">
        <v>440</v>
      </c>
    </row>
    <row r="19" spans="1:11" ht="12.75">
      <c r="A19" t="s">
        <v>69</v>
      </c>
      <c r="B19">
        <f>SUM(B6:B17)</f>
        <v>18</v>
      </c>
      <c r="C19">
        <f aca="true" t="shared" si="0" ref="C19:K19">SUM(C6:C17)</f>
        <v>72</v>
      </c>
      <c r="D19">
        <f t="shared" si="0"/>
        <v>8</v>
      </c>
      <c r="E19">
        <f t="shared" si="0"/>
        <v>40</v>
      </c>
      <c r="F19">
        <f t="shared" si="0"/>
        <v>80</v>
      </c>
      <c r="G19">
        <f t="shared" si="0"/>
        <v>160</v>
      </c>
      <c r="H19">
        <f t="shared" si="0"/>
        <v>60</v>
      </c>
      <c r="I19">
        <f t="shared" si="0"/>
        <v>440</v>
      </c>
      <c r="J19">
        <f t="shared" si="0"/>
        <v>440</v>
      </c>
      <c r="K19">
        <f t="shared" si="0"/>
        <v>10200</v>
      </c>
    </row>
    <row r="20" spans="1:11" ht="12.75">
      <c r="A20" t="s">
        <v>97</v>
      </c>
      <c r="C20">
        <f>40*C19</f>
        <v>2880</v>
      </c>
      <c r="D20">
        <f>80*D19</f>
        <v>640</v>
      </c>
      <c r="E20">
        <f>60*E19</f>
        <v>2400</v>
      </c>
      <c r="F20">
        <f>40*F19</f>
        <v>3200</v>
      </c>
      <c r="G20">
        <f>60*G19</f>
        <v>9600</v>
      </c>
      <c r="H20">
        <f>80*H19</f>
        <v>4800</v>
      </c>
      <c r="I20">
        <v>34000</v>
      </c>
      <c r="J20">
        <f>15*J19</f>
        <v>6600</v>
      </c>
      <c r="K20" s="1"/>
    </row>
    <row r="21" spans="1:11" ht="12.75">
      <c r="A21" t="s">
        <v>98</v>
      </c>
      <c r="K21" s="1">
        <f>SUM(C20:J20)+K19</f>
        <v>74320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Garcia-Sciveres</dc:creator>
  <cp:keywords/>
  <dc:description/>
  <cp:lastModifiedBy>Maurice Garcia-Sciveres</cp:lastModifiedBy>
  <cp:lastPrinted>2002-07-16T23:40:07Z</cp:lastPrinted>
  <dcterms:created xsi:type="dcterms:W3CDTF">2002-07-08T16:46:43Z</dcterms:created>
  <dcterms:modified xsi:type="dcterms:W3CDTF">2002-07-19T17:50:17Z</dcterms:modified>
  <cp:category/>
  <cp:version/>
  <cp:contentType/>
  <cp:contentStatus/>
</cp:coreProperties>
</file>