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Assumptions" sheetId="1" r:id="rId1"/>
    <sheet name="Flex" sheetId="2" r:id="rId2"/>
    <sheet name="MCM-D" sheetId="3" r:id="rId3"/>
    <sheet name="Cost Model" sheetId="4" r:id="rId4"/>
    <sheet name="Flex Cost" sheetId="5" r:id="rId5"/>
    <sheet name="Comparison" sheetId="6" r:id="rId6"/>
  </sheets>
  <definedNames>
    <definedName name="BumpDet">'Cost Model'!$F$51</definedName>
    <definedName name="BumpIC">'Cost Model'!$F$50</definedName>
    <definedName name="Detwafer">'Cost Model'!$F$49</definedName>
    <definedName name="ICwafer">'Cost Model'!$F$48</definedName>
    <definedName name="Shipping_loss" localSheetId="2">'MCM-D'!$A$36</definedName>
    <definedName name="Shipping_loss">'Flex'!$B$44</definedName>
    <definedName name="Spare">'Cost Model'!$F$7</definedName>
  </definedNames>
  <calcPr fullCalcOnLoad="1"/>
</workbook>
</file>

<file path=xl/sharedStrings.xml><?xml version="1.0" encoding="utf-8"?>
<sst xmlns="http://schemas.openxmlformats.org/spreadsheetml/2006/main" count="352" uniqueCount="208">
  <si>
    <t>Pixel Module Yield Model</t>
  </si>
  <si>
    <t>ICs</t>
  </si>
  <si>
    <t>Step</t>
  </si>
  <si>
    <t>Detectors</t>
  </si>
  <si>
    <t>Flex</t>
  </si>
  <si>
    <t>Fab</t>
  </si>
  <si>
    <t>Ship</t>
  </si>
  <si>
    <t>Probe</t>
  </si>
  <si>
    <t>Bump deposition</t>
  </si>
  <si>
    <t>Dice</t>
  </si>
  <si>
    <t>Sort</t>
  </si>
  <si>
    <t>Yield(%)</t>
  </si>
  <si>
    <t>Shipping yield</t>
  </si>
  <si>
    <t>Inspection(bump yield)</t>
  </si>
  <si>
    <t>Inspect/repair</t>
  </si>
  <si>
    <t>Mount components</t>
  </si>
  <si>
    <t>per die</t>
  </si>
  <si>
    <t>per tile</t>
  </si>
  <si>
    <t>per flex</t>
  </si>
  <si>
    <t>Module Assembly</t>
  </si>
  <si>
    <t>Flip chip/die</t>
  </si>
  <si>
    <t>Flip chip/module</t>
  </si>
  <si>
    <t>Inspect</t>
  </si>
  <si>
    <t>Attach flex</t>
  </si>
  <si>
    <t>Wire bond(with repair)</t>
  </si>
  <si>
    <t>Attach pwr/optics</t>
  </si>
  <si>
    <t>Test/burn in</t>
  </si>
  <si>
    <t>per module</t>
  </si>
  <si>
    <t>Detectors/wafer</t>
  </si>
  <si>
    <t>MCM-D</t>
  </si>
  <si>
    <t>Total modules started</t>
  </si>
  <si>
    <t>Total detector wafers</t>
  </si>
  <si>
    <t>GRAND TOTALS</t>
  </si>
  <si>
    <t>kchf</t>
  </si>
  <si>
    <t>Assumptions for Yield Model</t>
  </si>
  <si>
    <t>These spreadsheets provide a framework for comparing the cost of a flex hybrid implementation of</t>
  </si>
  <si>
    <t>pixel modules and an MCM-D implementation of pixel modules.  You may modify</t>
  </si>
  <si>
    <t>the entries to investigate different models for the yield.</t>
  </si>
  <si>
    <t xml:space="preserve">It should be emphasized that the cost differential between MCM-D and flex depends </t>
  </si>
  <si>
    <t>on both the yield assumptions and the actual cost of the major components(ICs, detectors and</t>
  </si>
  <si>
    <t xml:space="preserve">flex or MCM-D). These costs are not very well known at this time. </t>
  </si>
  <si>
    <t xml:space="preserve">I have used CORE costs for the ICs and the detectors, with the critical assumption that the </t>
  </si>
  <si>
    <t>detector CORE cost corresponds to good tiles only from the detector vendors(100% yield). If</t>
  </si>
  <si>
    <t xml:space="preserve">you don't like this, you can change the spreadsheet entry. </t>
  </si>
  <si>
    <t>Please also note that the IC yield is critical to the absolute cost</t>
  </si>
  <si>
    <t>IC wafer cost assumption is cost/wafer = 6242-(#wafers-1200)x</t>
  </si>
  <si>
    <t>Detector wafer cost assumption is cost/wafer=1150-(#wafers-1200)x</t>
  </si>
  <si>
    <t>Bump IC wafer cost assumption is cost/wafer=690-(#wafers-1200)x</t>
  </si>
  <si>
    <t>Bump detector wafer assumption is cost/wafer=460-(#wafers-1200)x</t>
  </si>
  <si>
    <t>Here are some example results for different assumptions.</t>
  </si>
  <si>
    <t>IC Yield</t>
  </si>
  <si>
    <t>(%)</t>
  </si>
  <si>
    <t>Detector</t>
  </si>
  <si>
    <t>Tiles/Wafer</t>
  </si>
  <si>
    <t>Flex/MCM-D</t>
  </si>
  <si>
    <t>Module</t>
  </si>
  <si>
    <t>Cost of</t>
  </si>
  <si>
    <t>Flex-MCM-D</t>
  </si>
  <si>
    <t>3/3</t>
  </si>
  <si>
    <t>3/2</t>
  </si>
  <si>
    <t>min cost</t>
  </si>
  <si>
    <t>Last update: November 23, 1998</t>
  </si>
  <si>
    <t>Flex and MCM-D costs are fixed at the moment.</t>
  </si>
  <si>
    <t>Inspect(in fab)</t>
  </si>
  <si>
    <t>Probe bare module</t>
  </si>
  <si>
    <t>Thin and metallize</t>
  </si>
  <si>
    <t>Created by R. Boyd January 28, 1999</t>
  </si>
  <si>
    <t>Last modified Febuary 1, 1999</t>
  </si>
  <si>
    <t>time/unit (min.)</t>
  </si>
  <si>
    <t>cost/unit</t>
  </si>
  <si>
    <t>chf/hour</t>
  </si>
  <si>
    <t>total chf</t>
  </si>
  <si>
    <t>Notes</t>
  </si>
  <si>
    <t>Flex Singulation</t>
  </si>
  <si>
    <t>Use die to punch out flex</t>
  </si>
  <si>
    <t>Testing</t>
  </si>
  <si>
    <t>Outside vendor</t>
  </si>
  <si>
    <t>In house</t>
  </si>
  <si>
    <t>Attach to module</t>
  </si>
  <si>
    <t>Wire bond</t>
  </si>
  <si>
    <t>Based on $.01/bond * 23*16 (FE)+84(MCC&amp;Link)</t>
  </si>
  <si>
    <t>Attach power</t>
  </si>
  <si>
    <t>Attach link</t>
  </si>
  <si>
    <t xml:space="preserve">test/burn in </t>
  </si>
  <si>
    <t>setup, break down, monitor</t>
  </si>
  <si>
    <t>SMT components</t>
  </si>
  <si>
    <t>Assumes caps only, all resistors in IC's</t>
  </si>
  <si>
    <t>Subtotal</t>
  </si>
  <si>
    <t>Item</t>
  </si>
  <si>
    <t>Flex fabrication</t>
  </si>
  <si>
    <t>Based on CLEOIII</t>
  </si>
  <si>
    <t>Shipping (per 40 units)</t>
  </si>
  <si>
    <t>A GE lot is 40 units</t>
  </si>
  <si>
    <t>packing</t>
  </si>
  <si>
    <t>carrier</t>
  </si>
  <si>
    <t>subtotal</t>
  </si>
  <si>
    <t>Total/unit</t>
  </si>
  <si>
    <t>Adjust for shipping 40 units and number of times shipped</t>
  </si>
  <si>
    <t>GRAND TOTAL/UNIT</t>
  </si>
  <si>
    <t>per unit cost</t>
  </si>
  <si>
    <t>Probe/burn-in</t>
  </si>
  <si>
    <t>Last Update: February 14,1999</t>
  </si>
  <si>
    <t>per MCM-D tile</t>
  </si>
  <si>
    <t>Yield</t>
  </si>
  <si>
    <t>Unit Cost</t>
  </si>
  <si>
    <t>Cost Difference</t>
  </si>
  <si>
    <t>MCM-D-Flex(kchf)</t>
  </si>
  <si>
    <t>Flip chip modules</t>
  </si>
  <si>
    <t>3/wafer for both</t>
  </si>
  <si>
    <t>3/flex and 2/MCMD</t>
  </si>
  <si>
    <t xml:space="preserve">Thin </t>
  </si>
  <si>
    <t>Cut</t>
  </si>
  <si>
    <t>Wire bond MCC</t>
  </si>
  <si>
    <t>Total flex needed</t>
  </si>
  <si>
    <t>Total pigtails needed</t>
  </si>
  <si>
    <t>Total optical pkgs needed</t>
  </si>
  <si>
    <t>Inspect(X-Ray)</t>
  </si>
  <si>
    <t>Optical Components</t>
  </si>
  <si>
    <t>IC fab</t>
  </si>
  <si>
    <t>IC Ship</t>
  </si>
  <si>
    <t>IC Probe</t>
  </si>
  <si>
    <t>IC thin</t>
  </si>
  <si>
    <t>IC dice</t>
  </si>
  <si>
    <t>Fiber fab</t>
  </si>
  <si>
    <t>Fiber ship</t>
  </si>
  <si>
    <t>Package fab</t>
  </si>
  <si>
    <t>Package ship</t>
  </si>
  <si>
    <t>Package inspect/test</t>
  </si>
  <si>
    <t>Fiber inspect/connect</t>
  </si>
  <si>
    <t>Total optical ICs needed</t>
  </si>
  <si>
    <t>Total optical wafers needed</t>
  </si>
  <si>
    <t>Number of optical die</t>
  </si>
  <si>
    <t>No optical die/wafer</t>
  </si>
  <si>
    <t>Opt. IC yield</t>
  </si>
  <si>
    <t>Package yield</t>
  </si>
  <si>
    <t>Total opt fiber ribbon needed</t>
  </si>
  <si>
    <t>Fiber ribbon yield</t>
  </si>
  <si>
    <t>No of L1/2&amp;diskmodules</t>
  </si>
  <si>
    <t>No of L1/2&amp;disk FE die</t>
  </si>
  <si>
    <t>No B-layer FE die</t>
  </si>
  <si>
    <t>B-layer FE die/wafer</t>
  </si>
  <si>
    <t>L1/2&amp;disk FE die/ wafer</t>
  </si>
  <si>
    <t>Total L1/2&amp;disk modules started</t>
  </si>
  <si>
    <t>Total B-layer modules started</t>
  </si>
  <si>
    <t>Total L1/2&amp;disk FE die required</t>
  </si>
  <si>
    <t>Total L1/2&amp;disk FE wafers</t>
  </si>
  <si>
    <t>Total B-layer FE wafers required</t>
  </si>
  <si>
    <t>Inspection</t>
  </si>
  <si>
    <t>Attach pigtail</t>
  </si>
  <si>
    <t>Cost Model</t>
  </si>
  <si>
    <t>No of B-layer(s) modules</t>
  </si>
  <si>
    <t>Last Update: August 22, 2000</t>
  </si>
  <si>
    <t>Fixed ICs</t>
  </si>
  <si>
    <t>Reprobe/Sort</t>
  </si>
  <si>
    <t>Inspect(at bumper)</t>
  </si>
  <si>
    <t>B-layers</t>
  </si>
  <si>
    <t>Total B-layers FE die required</t>
  </si>
  <si>
    <t>Tile average yield</t>
  </si>
  <si>
    <t>Total disk modules started</t>
  </si>
  <si>
    <t>No of disk modules</t>
  </si>
  <si>
    <t>Total disk pigtails needed</t>
  </si>
  <si>
    <t>No disk pigtail</t>
  </si>
  <si>
    <t>No of disk PP0</t>
  </si>
  <si>
    <t>No of disk opt daughter boards</t>
  </si>
  <si>
    <t>Pigtail yield</t>
  </si>
  <si>
    <t>PigtailFab</t>
  </si>
  <si>
    <t>PP0 Fab</t>
  </si>
  <si>
    <t>Pigtails/PP0/Opt Bd</t>
  </si>
  <si>
    <t>Load/Inspect</t>
  </si>
  <si>
    <t>PP0 Yield</t>
  </si>
  <si>
    <t>Opt bd fab</t>
  </si>
  <si>
    <t>Burn in</t>
  </si>
  <si>
    <t>Opt bd Yield</t>
  </si>
  <si>
    <t>Total disk PP0 needed</t>
  </si>
  <si>
    <t>Total disk Opt. Board needed</t>
  </si>
  <si>
    <t>Total bump IC(6") wafers</t>
  </si>
  <si>
    <t>Total bump IC(8") wafers</t>
  </si>
  <si>
    <t>Total bump detector wafers</t>
  </si>
  <si>
    <t>Total disk optical pkgs needed</t>
  </si>
  <si>
    <t>Total disk opt fiber ribbon needed</t>
  </si>
  <si>
    <t>Bare module yield</t>
  </si>
  <si>
    <t>assembled module</t>
  </si>
  <si>
    <t>Inspect/destruct test</t>
  </si>
  <si>
    <t>Loss factor</t>
  </si>
  <si>
    <t>Include additional loss factor</t>
  </si>
  <si>
    <t xml:space="preserve"> Includes loss</t>
  </si>
  <si>
    <t>Includes loss</t>
  </si>
  <si>
    <t>Inspect/test</t>
  </si>
  <si>
    <t>No of L2&amp;diskmodules</t>
  </si>
  <si>
    <t>No of L2&amp;disk FE die</t>
  </si>
  <si>
    <t>L2&amp;disk FE die/ wafer</t>
  </si>
  <si>
    <t>Total L2&amp;disk modules started</t>
  </si>
  <si>
    <t>Total L2&amp;disk FE wafers</t>
  </si>
  <si>
    <t>Total optical ICs started</t>
  </si>
  <si>
    <t>Total optical wafers started</t>
  </si>
  <si>
    <t>Total flex started</t>
  </si>
  <si>
    <t>Total optical pkgs started</t>
  </si>
  <si>
    <t>Total disk optical pkgs started</t>
  </si>
  <si>
    <t>Total opt fiber ribbon started</t>
  </si>
  <si>
    <t>Total disk opt fiber ribbon started</t>
  </si>
  <si>
    <t>Total pigtails started</t>
  </si>
  <si>
    <t>Total disk pigtails started</t>
  </si>
  <si>
    <t>Total disk PP0 started</t>
  </si>
  <si>
    <t>Total disk Opt. Board started</t>
  </si>
  <si>
    <t>Total L2&amp;disk FE die started</t>
  </si>
  <si>
    <t>Total B-layers FE die started</t>
  </si>
  <si>
    <t>Total B-layer FE wafers started</t>
  </si>
  <si>
    <t>Last Update: September 19, 2000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</si>
</sst>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0.00000"/>
    <numFmt numFmtId="169" formatCode="0.000000"/>
    <numFmt numFmtId="170" formatCode="0.0000000"/>
  </numFmts>
  <fonts count="6">
    <font>
      <sz val="10"/>
      <name val="Arial"/>
      <family val="0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44" fontId="2" fillId="0" borderId="3" xfId="17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0" borderId="3" xfId="19" applyBorder="1" applyAlignment="1">
      <alignment/>
    </xf>
    <xf numFmtId="9" fontId="0" fillId="0" borderId="3" xfId="19" applyFont="1" applyBorder="1" applyAlignment="1">
      <alignment/>
    </xf>
    <xf numFmtId="9" fontId="0" fillId="0" borderId="4" xfId="19" applyBorder="1" applyAlignment="1">
      <alignment horizontal="center"/>
    </xf>
    <xf numFmtId="9" fontId="0" fillId="0" borderId="6" xfId="19" applyBorder="1" applyAlignment="1">
      <alignment/>
    </xf>
    <xf numFmtId="9" fontId="0" fillId="0" borderId="0" xfId="19" applyAlignment="1">
      <alignment/>
    </xf>
    <xf numFmtId="165" fontId="0" fillId="0" borderId="3" xfId="19" applyNumberFormat="1" applyBorder="1" applyAlignment="1">
      <alignment/>
    </xf>
    <xf numFmtId="165" fontId="0" fillId="0" borderId="3" xfId="19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5" fontId="0" fillId="0" borderId="0" xfId="19" applyNumberFormat="1" applyAlignment="1">
      <alignment/>
    </xf>
    <xf numFmtId="165" fontId="0" fillId="0" borderId="0" xfId="19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9" fontId="4" fillId="0" borderId="0" xfId="19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9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165" fontId="0" fillId="0" borderId="0" xfId="19" applyNumberFormat="1" applyBorder="1" applyAlignment="1">
      <alignment/>
    </xf>
    <xf numFmtId="44" fontId="2" fillId="0" borderId="0" xfId="17" applyFont="1" applyBorder="1" applyAlignment="1">
      <alignment/>
    </xf>
    <xf numFmtId="9" fontId="5" fillId="0" borderId="0" xfId="19" applyFont="1" applyBorder="1" applyAlignment="1">
      <alignment/>
    </xf>
    <xf numFmtId="9" fontId="0" fillId="0" borderId="0" xfId="19" applyAlignment="1">
      <alignment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0" fillId="0" borderId="9" xfId="19" applyNumberFormat="1" applyBorder="1" applyAlignment="1">
      <alignment/>
    </xf>
    <xf numFmtId="0" fontId="0" fillId="0" borderId="12" xfId="0" applyBorder="1" applyAlignment="1">
      <alignment/>
    </xf>
    <xf numFmtId="9" fontId="0" fillId="0" borderId="9" xfId="19" applyFont="1" applyBorder="1" applyAlignment="1">
      <alignment horizontal="right"/>
    </xf>
    <xf numFmtId="9" fontId="5" fillId="0" borderId="9" xfId="19" applyFont="1" applyBorder="1" applyAlignment="1">
      <alignment/>
    </xf>
    <xf numFmtId="9" fontId="0" fillId="0" borderId="9" xfId="19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165" fontId="5" fillId="0" borderId="14" xfId="19" applyNumberFormat="1" applyFont="1" applyBorder="1" applyAlignment="1">
      <alignment/>
    </xf>
    <xf numFmtId="0" fontId="5" fillId="0" borderId="15" xfId="0" applyFont="1" applyBorder="1" applyAlignment="1">
      <alignment/>
    </xf>
    <xf numFmtId="9" fontId="5" fillId="0" borderId="14" xfId="19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1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65" fontId="0" fillId="0" borderId="8" xfId="19" applyNumberFormat="1" applyFont="1" applyBorder="1" applyAlignment="1">
      <alignment/>
    </xf>
    <xf numFmtId="165" fontId="5" fillId="0" borderId="10" xfId="19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9" fontId="5" fillId="0" borderId="12" xfId="19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0" fillId="0" borderId="9" xfId="19" applyNumberFormat="1" applyBorder="1" applyAlignment="1">
      <alignment/>
    </xf>
    <xf numFmtId="44" fontId="2" fillId="0" borderId="9" xfId="17" applyFont="1" applyBorder="1" applyAlignment="1">
      <alignment/>
    </xf>
    <xf numFmtId="9" fontId="5" fillId="0" borderId="17" xfId="19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6</xdr:col>
      <xdr:colOff>0</xdr:colOff>
      <xdr:row>15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7124700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19050</xdr:rowOff>
    </xdr:from>
    <xdr:to>
      <xdr:col>6</xdr:col>
      <xdr:colOff>0</xdr:colOff>
      <xdr:row>24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0" y="2609850"/>
          <a:ext cx="7124700" cy="1285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3" sqref="A3"/>
    </sheetView>
  </sheetViews>
  <sheetFormatPr defaultColWidth="9.140625" defaultRowHeight="12.75"/>
  <cols>
    <col min="3" max="3" width="11.421875" style="0" bestFit="1" customWidth="1"/>
    <col min="6" max="6" width="11.421875" style="0" bestFit="1" customWidth="1"/>
  </cols>
  <sheetData>
    <row r="1" ht="12.75">
      <c r="A1" t="s">
        <v>34</v>
      </c>
    </row>
    <row r="2" ht="12.75">
      <c r="A2" t="s">
        <v>61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8" ht="12.75">
      <c r="A8" t="s">
        <v>38</v>
      </c>
    </row>
    <row r="9" ht="12.75">
      <c r="A9" t="s">
        <v>39</v>
      </c>
    </row>
    <row r="10" ht="12.75">
      <c r="A10" t="s">
        <v>40</v>
      </c>
    </row>
    <row r="11" ht="12.75">
      <c r="A11" t="s">
        <v>41</v>
      </c>
    </row>
    <row r="12" ht="12.75">
      <c r="A12" t="s">
        <v>42</v>
      </c>
    </row>
    <row r="13" ht="12.75">
      <c r="A13" t="s">
        <v>43</v>
      </c>
    </row>
    <row r="14" ht="12.75">
      <c r="A14" t="s">
        <v>44</v>
      </c>
    </row>
    <row r="16" ht="12.75">
      <c r="A16" t="s">
        <v>49</v>
      </c>
    </row>
    <row r="17" spans="4:6" ht="12.75">
      <c r="D17" s="22" t="s">
        <v>4</v>
      </c>
      <c r="E17" s="22" t="s">
        <v>29</v>
      </c>
      <c r="F17" s="22" t="s">
        <v>56</v>
      </c>
    </row>
    <row r="18" spans="1:6" ht="12.75">
      <c r="A18" s="22" t="s">
        <v>50</v>
      </c>
      <c r="B18" s="22" t="s">
        <v>52</v>
      </c>
      <c r="C18" s="22" t="s">
        <v>53</v>
      </c>
      <c r="D18" s="22" t="s">
        <v>55</v>
      </c>
      <c r="E18" s="22" t="s">
        <v>55</v>
      </c>
      <c r="F18" s="22" t="s">
        <v>57</v>
      </c>
    </row>
    <row r="19" spans="1:6" ht="12.75">
      <c r="A19" s="1" t="s">
        <v>51</v>
      </c>
      <c r="B19" s="1" t="s">
        <v>11</v>
      </c>
      <c r="C19" s="1" t="s">
        <v>54</v>
      </c>
      <c r="D19" s="1" t="s">
        <v>11</v>
      </c>
      <c r="E19" s="1" t="s">
        <v>11</v>
      </c>
      <c r="F19" s="1" t="s">
        <v>33</v>
      </c>
    </row>
    <row r="20" spans="1:6" ht="12.75">
      <c r="A20" s="22">
        <v>30</v>
      </c>
      <c r="B20" s="22">
        <v>100</v>
      </c>
      <c r="C20" s="23" t="s">
        <v>58</v>
      </c>
      <c r="D20" s="22">
        <v>71</v>
      </c>
      <c r="E20" s="22">
        <v>75</v>
      </c>
      <c r="F20" s="22">
        <v>1995</v>
      </c>
    </row>
    <row r="21" spans="1:6" ht="12.75">
      <c r="A21" s="22">
        <v>30</v>
      </c>
      <c r="B21" s="22">
        <v>100</v>
      </c>
      <c r="C21" s="23" t="s">
        <v>59</v>
      </c>
      <c r="D21" s="22">
        <v>71</v>
      </c>
      <c r="E21" s="22">
        <v>75</v>
      </c>
      <c r="F21" s="22">
        <v>2918</v>
      </c>
    </row>
    <row r="22" spans="1:6" ht="12.75">
      <c r="A22" s="22">
        <v>30</v>
      </c>
      <c r="B22" s="22">
        <v>100</v>
      </c>
      <c r="C22" s="23" t="s">
        <v>58</v>
      </c>
      <c r="D22" s="22">
        <v>61</v>
      </c>
      <c r="E22" s="22">
        <v>75</v>
      </c>
      <c r="F22" s="22">
        <v>0</v>
      </c>
    </row>
    <row r="23" spans="1:6" ht="12.75">
      <c r="A23" s="22">
        <v>60</v>
      </c>
      <c r="B23" s="22">
        <v>100</v>
      </c>
      <c r="C23" s="23" t="s">
        <v>58</v>
      </c>
      <c r="D23" s="22">
        <v>71</v>
      </c>
      <c r="E23" s="22">
        <v>75</v>
      </c>
      <c r="F23" s="22">
        <v>1891</v>
      </c>
    </row>
    <row r="24" spans="1:6" ht="12.75">
      <c r="A24" s="22">
        <v>60</v>
      </c>
      <c r="B24" s="22">
        <v>100</v>
      </c>
      <c r="C24" s="23" t="s">
        <v>59</v>
      </c>
      <c r="D24" s="22">
        <v>71</v>
      </c>
      <c r="E24" s="22">
        <v>75</v>
      </c>
      <c r="F24" s="22">
        <v>2813</v>
      </c>
    </row>
    <row r="25" spans="1:6" ht="12.75">
      <c r="A25" s="22">
        <v>60</v>
      </c>
      <c r="B25" s="22">
        <v>100</v>
      </c>
      <c r="C25" s="23" t="s">
        <v>58</v>
      </c>
      <c r="D25" s="22">
        <v>54</v>
      </c>
      <c r="E25" s="22">
        <v>75</v>
      </c>
      <c r="F25" s="22"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2" max="2" width="9.28125" style="0" bestFit="1" customWidth="1"/>
    <col min="3" max="3" width="19.57421875" style="0" bestFit="1" customWidth="1"/>
    <col min="4" max="4" width="8.00390625" style="0" bestFit="1" customWidth="1"/>
    <col min="5" max="5" width="19.57421875" style="0" bestFit="1" customWidth="1"/>
    <col min="7" max="7" width="16.8515625" style="0" bestFit="1" customWidth="1"/>
    <col min="8" max="8" width="2.7109375" style="0" customWidth="1"/>
    <col min="9" max="9" width="27.7109375" style="0" bestFit="1" customWidth="1"/>
    <col min="10" max="10" width="12.57421875" style="0" bestFit="1" customWidth="1"/>
  </cols>
  <sheetData>
    <row r="1" ht="12.75">
      <c r="B1" t="s">
        <v>0</v>
      </c>
    </row>
    <row r="2" ht="12.75">
      <c r="B2" t="s">
        <v>207</v>
      </c>
    </row>
    <row r="3" ht="13.5" thickBot="1"/>
    <row r="4" spans="1:14" ht="12.75">
      <c r="A4" s="46" t="s">
        <v>155</v>
      </c>
      <c r="B4" s="80" t="s">
        <v>152</v>
      </c>
      <c r="C4" s="81"/>
      <c r="D4" s="78" t="s">
        <v>3</v>
      </c>
      <c r="E4" s="79"/>
      <c r="F4" s="78" t="s">
        <v>4</v>
      </c>
      <c r="G4" s="79"/>
      <c r="I4" s="38" t="s">
        <v>188</v>
      </c>
      <c r="J4" s="60">
        <f>'Cost Model'!B4</f>
        <v>290.40000000000003</v>
      </c>
      <c r="K4" s="61" t="s">
        <v>185</v>
      </c>
      <c r="L4" s="61"/>
      <c r="M4" s="62"/>
      <c r="N4" s="34"/>
    </row>
    <row r="5" spans="1:14" ht="15">
      <c r="A5" s="75" t="s">
        <v>11</v>
      </c>
      <c r="B5" s="43" t="s">
        <v>11</v>
      </c>
      <c r="C5" s="72" t="s">
        <v>2</v>
      </c>
      <c r="D5" s="71" t="s">
        <v>11</v>
      </c>
      <c r="E5" s="72" t="s">
        <v>2</v>
      </c>
      <c r="F5" s="71" t="s">
        <v>11</v>
      </c>
      <c r="G5" s="72" t="s">
        <v>2</v>
      </c>
      <c r="I5" s="39" t="s">
        <v>150</v>
      </c>
      <c r="J5" s="59">
        <f>'Cost Model'!B5</f>
        <v>800.8000000000001</v>
      </c>
      <c r="K5" s="34" t="s">
        <v>185</v>
      </c>
      <c r="L5" s="34"/>
      <c r="M5" s="49"/>
      <c r="N5" s="34"/>
    </row>
    <row r="6" spans="1:14" ht="12.75">
      <c r="A6" s="48">
        <v>0.75</v>
      </c>
      <c r="B6" s="36">
        <v>0.17</v>
      </c>
      <c r="C6" s="49" t="s">
        <v>5</v>
      </c>
      <c r="D6" s="48">
        <f>F43</f>
        <v>0.8333349999999999</v>
      </c>
      <c r="E6" s="49" t="s">
        <v>5</v>
      </c>
      <c r="F6" s="48">
        <v>1</v>
      </c>
      <c r="G6" s="49" t="s">
        <v>5</v>
      </c>
      <c r="I6" s="39" t="s">
        <v>159</v>
      </c>
      <c r="J6" s="59">
        <f>'Cost Model'!B6</f>
        <v>290.40000000000003</v>
      </c>
      <c r="K6" s="41" t="s">
        <v>186</v>
      </c>
      <c r="L6" s="34"/>
      <c r="M6" s="49"/>
      <c r="N6" s="34"/>
    </row>
    <row r="7" spans="1:14" ht="12.75">
      <c r="A7" s="48">
        <f>Shipping_loss</f>
        <v>0.995</v>
      </c>
      <c r="B7" s="36">
        <f>Shipping_loss</f>
        <v>0.995</v>
      </c>
      <c r="C7" s="49" t="s">
        <v>6</v>
      </c>
      <c r="D7" s="48">
        <f>Shipping_loss</f>
        <v>0.995</v>
      </c>
      <c r="E7" s="49" t="s">
        <v>6</v>
      </c>
      <c r="F7" s="48">
        <v>0.85</v>
      </c>
      <c r="G7" s="49" t="s">
        <v>182</v>
      </c>
      <c r="I7" s="39" t="s">
        <v>189</v>
      </c>
      <c r="J7" s="59">
        <f>'Cost Model'!B7</f>
        <v>4646.400000000001</v>
      </c>
      <c r="K7" s="34"/>
      <c r="L7" s="77" t="s">
        <v>183</v>
      </c>
      <c r="M7" s="49">
        <f>Spare</f>
        <v>1.1</v>
      </c>
      <c r="N7" s="34"/>
    </row>
    <row r="8" spans="1:14" ht="12.75">
      <c r="A8" s="48">
        <v>0.97</v>
      </c>
      <c r="B8" s="36">
        <v>0.97</v>
      </c>
      <c r="C8" s="49" t="s">
        <v>7</v>
      </c>
      <c r="D8" s="48">
        <v>0.95</v>
      </c>
      <c r="E8" s="49" t="s">
        <v>7</v>
      </c>
      <c r="F8" s="48">
        <f>Shipping_loss</f>
        <v>0.995</v>
      </c>
      <c r="G8" s="49" t="s">
        <v>6</v>
      </c>
      <c r="I8" s="39" t="s">
        <v>190</v>
      </c>
      <c r="J8" s="59">
        <f>'Cost Model'!B8</f>
        <v>130</v>
      </c>
      <c r="K8" s="34"/>
      <c r="L8" s="34"/>
      <c r="M8" s="49"/>
      <c r="N8" s="34"/>
    </row>
    <row r="9" spans="1:14" ht="12.75">
      <c r="A9" s="48">
        <f>Shipping_loss</f>
        <v>0.995</v>
      </c>
      <c r="B9" s="36">
        <f>Shipping_loss</f>
        <v>0.995</v>
      </c>
      <c r="C9" s="49" t="s">
        <v>6</v>
      </c>
      <c r="D9" s="48">
        <f>Shipping_loss</f>
        <v>0.995</v>
      </c>
      <c r="E9" s="49" t="s">
        <v>6</v>
      </c>
      <c r="F9" s="48">
        <v>0.99</v>
      </c>
      <c r="G9" s="49" t="s">
        <v>111</v>
      </c>
      <c r="I9" s="39" t="s">
        <v>139</v>
      </c>
      <c r="J9" s="59">
        <f>'Cost Model'!B9</f>
        <v>12812.800000000001</v>
      </c>
      <c r="K9" s="34"/>
      <c r="L9" s="34"/>
      <c r="M9" s="49"/>
      <c r="N9" s="34"/>
    </row>
    <row r="10" spans="1:14" ht="12.75">
      <c r="A10" s="48">
        <v>0.97</v>
      </c>
      <c r="B10" s="36">
        <v>0.97</v>
      </c>
      <c r="C10" s="49" t="s">
        <v>8</v>
      </c>
      <c r="D10" s="48">
        <v>0.97</v>
      </c>
      <c r="E10" s="49" t="s">
        <v>8</v>
      </c>
      <c r="F10" s="48">
        <f>Shipping_loss</f>
        <v>0.995</v>
      </c>
      <c r="G10" s="49" t="s">
        <v>6</v>
      </c>
      <c r="I10" s="39" t="s">
        <v>140</v>
      </c>
      <c r="J10" s="59">
        <f>'Cost Model'!B10</f>
        <v>231</v>
      </c>
      <c r="K10" s="34"/>
      <c r="L10" s="34"/>
      <c r="M10" s="49"/>
      <c r="N10" s="34"/>
    </row>
    <row r="11" spans="1:14" ht="12.75">
      <c r="A11" s="48">
        <f>Shipping_loss</f>
        <v>0.995</v>
      </c>
      <c r="B11" s="36">
        <f>Shipping_loss</f>
        <v>0.995</v>
      </c>
      <c r="C11" s="49" t="s">
        <v>6</v>
      </c>
      <c r="D11" s="48">
        <f>Shipping_loss</f>
        <v>0.995</v>
      </c>
      <c r="E11" s="49" t="s">
        <v>6</v>
      </c>
      <c r="F11" s="48">
        <v>0.9</v>
      </c>
      <c r="G11" s="49" t="s">
        <v>15</v>
      </c>
      <c r="I11" s="39" t="s">
        <v>28</v>
      </c>
      <c r="J11" s="59">
        <f>'Cost Model'!B11</f>
        <v>3</v>
      </c>
      <c r="K11" s="34"/>
      <c r="L11" s="34"/>
      <c r="M11" s="49"/>
      <c r="N11" s="34"/>
    </row>
    <row r="12" spans="1:14" ht="12.75">
      <c r="A12" s="48">
        <v>0.98</v>
      </c>
      <c r="B12" s="36">
        <v>0.98</v>
      </c>
      <c r="C12" s="49" t="s">
        <v>110</v>
      </c>
      <c r="D12" s="48">
        <v>0.97</v>
      </c>
      <c r="E12" s="49" t="s">
        <v>147</v>
      </c>
      <c r="F12" s="48">
        <f>Shipping_loss</f>
        <v>0.995</v>
      </c>
      <c r="G12" s="49" t="s">
        <v>6</v>
      </c>
      <c r="I12" s="39" t="s">
        <v>131</v>
      </c>
      <c r="J12" s="59">
        <f>'Cost Model'!B12</f>
        <v>1091.2</v>
      </c>
      <c r="K12" s="34"/>
      <c r="L12" s="34"/>
      <c r="M12" s="49"/>
      <c r="N12" s="34"/>
    </row>
    <row r="13" spans="1:14" ht="12.75">
      <c r="A13" s="48">
        <f>Shipping_loss</f>
        <v>0.995</v>
      </c>
      <c r="B13" s="36">
        <f>Shipping_loss</f>
        <v>0.995</v>
      </c>
      <c r="C13" s="49" t="s">
        <v>6</v>
      </c>
      <c r="D13" s="48">
        <f>Shipping_loss</f>
        <v>0.995</v>
      </c>
      <c r="E13" s="49" t="s">
        <v>6</v>
      </c>
      <c r="F13" s="48">
        <v>0.97</v>
      </c>
      <c r="G13" s="49" t="s">
        <v>112</v>
      </c>
      <c r="I13" s="39" t="s">
        <v>132</v>
      </c>
      <c r="J13" s="59">
        <f>'Cost Model'!B13</f>
        <v>1000</v>
      </c>
      <c r="K13" s="34"/>
      <c r="L13" s="34"/>
      <c r="M13" s="49"/>
      <c r="N13" s="34"/>
    </row>
    <row r="14" spans="1:14" ht="12.75">
      <c r="A14" s="48">
        <v>0.98</v>
      </c>
      <c r="B14" s="36">
        <v>0.98</v>
      </c>
      <c r="C14" s="49" t="s">
        <v>9</v>
      </c>
      <c r="D14" s="48">
        <v>0.97</v>
      </c>
      <c r="E14" s="49" t="s">
        <v>9</v>
      </c>
      <c r="F14" s="48">
        <f>Shipping_loss</f>
        <v>0.995</v>
      </c>
      <c r="G14" s="49" t="s">
        <v>6</v>
      </c>
      <c r="I14" s="39" t="s">
        <v>161</v>
      </c>
      <c r="J14" s="59">
        <f>'Cost Model'!B14</f>
        <v>319.44000000000005</v>
      </c>
      <c r="K14" s="34" t="s">
        <v>184</v>
      </c>
      <c r="L14" s="34"/>
      <c r="M14" s="49"/>
      <c r="N14" s="34"/>
    </row>
    <row r="15" spans="1:14" ht="12.75">
      <c r="A15" s="48">
        <v>0.95</v>
      </c>
      <c r="B15" s="36">
        <v>0.95</v>
      </c>
      <c r="C15" s="49" t="s">
        <v>153</v>
      </c>
      <c r="D15" s="48">
        <v>0.99</v>
      </c>
      <c r="E15" s="49" t="s">
        <v>10</v>
      </c>
      <c r="F15" s="48">
        <v>0.95</v>
      </c>
      <c r="G15" s="49" t="s">
        <v>100</v>
      </c>
      <c r="I15" s="39" t="s">
        <v>162</v>
      </c>
      <c r="J15" s="59">
        <f>'Cost Model'!B15</f>
        <v>53.24000000000001</v>
      </c>
      <c r="K15" s="34" t="s">
        <v>184</v>
      </c>
      <c r="L15" s="34"/>
      <c r="M15" s="49"/>
      <c r="N15" s="34"/>
    </row>
    <row r="16" spans="1:14" ht="12.75">
      <c r="A16" s="48">
        <f>Shipping_loss</f>
        <v>0.995</v>
      </c>
      <c r="B16" s="36">
        <f>Shipping_loss</f>
        <v>0.995</v>
      </c>
      <c r="C16" s="49" t="s">
        <v>6</v>
      </c>
      <c r="D16" s="48">
        <f>Shipping_loss</f>
        <v>0.995</v>
      </c>
      <c r="E16" s="49" t="s">
        <v>6</v>
      </c>
      <c r="F16" s="48">
        <f>Shipping_loss</f>
        <v>0.995</v>
      </c>
      <c r="G16" s="49" t="s">
        <v>6</v>
      </c>
      <c r="I16" s="39" t="s">
        <v>163</v>
      </c>
      <c r="J16" s="59">
        <f>'Cost Model'!B16</f>
        <v>53.24000000000001</v>
      </c>
      <c r="K16" s="34" t="s">
        <v>184</v>
      </c>
      <c r="L16" s="34"/>
      <c r="M16" s="49"/>
      <c r="N16" s="34"/>
    </row>
    <row r="17" spans="1:14" ht="12.75">
      <c r="A17" s="74">
        <v>0.99</v>
      </c>
      <c r="B17" s="42">
        <v>0.99</v>
      </c>
      <c r="C17" s="49" t="s">
        <v>154</v>
      </c>
      <c r="D17" s="74">
        <v>0.99</v>
      </c>
      <c r="E17" s="49" t="s">
        <v>22</v>
      </c>
      <c r="F17" s="39"/>
      <c r="G17" s="49"/>
      <c r="I17" s="39"/>
      <c r="J17" s="59">
        <f>'Cost Model'!B17</f>
        <v>0</v>
      </c>
      <c r="K17" s="34"/>
      <c r="L17" s="34"/>
      <c r="M17" s="49"/>
      <c r="N17" s="34"/>
    </row>
    <row r="18" spans="1:14" ht="12.75">
      <c r="A18" s="51">
        <f>PRODUCT(A6:A17)</f>
        <v>0.6216287425246099</v>
      </c>
      <c r="B18" s="44">
        <f>PRODUCT(B6:B17)</f>
        <v>0.1409025149722449</v>
      </c>
      <c r="C18" s="70" t="s">
        <v>16</v>
      </c>
      <c r="D18" s="53"/>
      <c r="E18" s="70">
        <f>PRODUCT(D6:D17)</f>
        <v>0.6906280662531185</v>
      </c>
      <c r="F18" s="53"/>
      <c r="G18" s="70">
        <f>PRODUCT(F6:F16)</f>
        <v>0.6806241786874692</v>
      </c>
      <c r="I18" s="39" t="s">
        <v>30</v>
      </c>
      <c r="J18" s="59">
        <f>'Cost Model'!B18</f>
        <v>1449.1905209313284</v>
      </c>
      <c r="K18" s="34"/>
      <c r="L18" s="34"/>
      <c r="M18" s="49"/>
      <c r="N18" s="34"/>
    </row>
    <row r="19" spans="1:14" ht="13.5" thickBot="1">
      <c r="A19" s="40"/>
      <c r="B19" s="76"/>
      <c r="C19" s="55"/>
      <c r="D19" s="73"/>
      <c r="E19" s="55" t="s">
        <v>17</v>
      </c>
      <c r="F19" s="73"/>
      <c r="G19" s="55" t="s">
        <v>18</v>
      </c>
      <c r="I19" s="39" t="s">
        <v>191</v>
      </c>
      <c r="J19" s="59">
        <f>'Cost Model'!B19</f>
        <v>385.67167089301483</v>
      </c>
      <c r="K19" s="34"/>
      <c r="L19" s="34"/>
      <c r="M19" s="49"/>
      <c r="N19" s="34"/>
    </row>
    <row r="20" spans="9:14" ht="13.5" thickBot="1">
      <c r="I20" s="39" t="s">
        <v>143</v>
      </c>
      <c r="J20" s="59">
        <f>'Cost Model'!B20</f>
        <v>1063.5188500383135</v>
      </c>
      <c r="K20" s="34"/>
      <c r="L20" s="34"/>
      <c r="M20" s="49"/>
      <c r="N20" s="34"/>
    </row>
    <row r="21" spans="2:14" ht="13.5" thickBot="1">
      <c r="B21" s="11" t="s">
        <v>11</v>
      </c>
      <c r="C21" s="37" t="s">
        <v>117</v>
      </c>
      <c r="D21" s="46" t="s">
        <v>11</v>
      </c>
      <c r="E21" s="47" t="s">
        <v>19</v>
      </c>
      <c r="F21" s="46" t="s">
        <v>11</v>
      </c>
      <c r="G21" s="47" t="s">
        <v>167</v>
      </c>
      <c r="I21" s="39" t="s">
        <v>158</v>
      </c>
      <c r="J21" s="59">
        <f>'Cost Model'!B21</f>
        <v>385.67167089301483</v>
      </c>
      <c r="K21" s="34"/>
      <c r="L21" s="34"/>
      <c r="M21" s="49"/>
      <c r="N21" s="34"/>
    </row>
    <row r="22" spans="2:14" ht="12.75">
      <c r="B22" s="66">
        <v>0.87</v>
      </c>
      <c r="C22" s="61" t="s">
        <v>118</v>
      </c>
      <c r="D22" s="48">
        <v>0.995</v>
      </c>
      <c r="E22" s="49" t="s">
        <v>20</v>
      </c>
      <c r="F22" s="48">
        <v>1</v>
      </c>
      <c r="G22" s="49" t="s">
        <v>165</v>
      </c>
      <c r="I22" s="39" t="s">
        <v>204</v>
      </c>
      <c r="J22" s="59">
        <f>'Cost Model'!B22</f>
        <v>43794.43997506898</v>
      </c>
      <c r="K22" s="34"/>
      <c r="L22" s="34"/>
      <c r="M22" s="49"/>
      <c r="N22" s="34"/>
    </row>
    <row r="23" spans="2:14" ht="12.75">
      <c r="B23" s="48">
        <f>Shipping_loss</f>
        <v>0.995</v>
      </c>
      <c r="C23" s="34" t="s">
        <v>119</v>
      </c>
      <c r="D23" s="48">
        <f>D22^16</f>
        <v>0.9229311239742364</v>
      </c>
      <c r="E23" s="49" t="s">
        <v>21</v>
      </c>
      <c r="F23" s="48">
        <v>0.95</v>
      </c>
      <c r="G23" s="49" t="s">
        <v>187</v>
      </c>
      <c r="I23" s="39" t="s">
        <v>192</v>
      </c>
      <c r="J23" s="59">
        <f>'Cost Model'!B23</f>
        <v>336.8803075005306</v>
      </c>
      <c r="K23" s="34"/>
      <c r="L23" s="34"/>
      <c r="M23" s="49"/>
      <c r="N23" s="34"/>
    </row>
    <row r="24" spans="2:14" ht="12.75">
      <c r="B24" s="48">
        <v>0.97</v>
      </c>
      <c r="C24" s="34" t="s">
        <v>120</v>
      </c>
      <c r="D24" s="48">
        <f>Shipping_loss</f>
        <v>0.995</v>
      </c>
      <c r="E24" s="49" t="s">
        <v>116</v>
      </c>
      <c r="F24" s="48">
        <f>Shipping_loss</f>
        <v>0.995</v>
      </c>
      <c r="G24" s="49" t="s">
        <v>6</v>
      </c>
      <c r="I24" s="39" t="s">
        <v>205</v>
      </c>
      <c r="J24" s="59">
        <f>'Cost Model'!B24</f>
        <v>27373.73682482089</v>
      </c>
      <c r="K24" s="34"/>
      <c r="L24" s="34"/>
      <c r="M24" s="49"/>
      <c r="N24" s="34"/>
    </row>
    <row r="25" spans="2:14" ht="12.75">
      <c r="B25" s="48">
        <f>Shipping_loss</f>
        <v>0.995</v>
      </c>
      <c r="C25" s="34" t="s">
        <v>119</v>
      </c>
      <c r="D25" s="48">
        <f>Shipping_loss</f>
        <v>0.995</v>
      </c>
      <c r="E25" s="49" t="s">
        <v>6</v>
      </c>
      <c r="F25" s="48">
        <v>0.99</v>
      </c>
      <c r="G25" s="49" t="s">
        <v>111</v>
      </c>
      <c r="I25" s="39" t="s">
        <v>206</v>
      </c>
      <c r="J25" s="59">
        <f>'Cost Model'!B25</f>
        <v>118.50102521567486</v>
      </c>
      <c r="K25" s="34"/>
      <c r="L25" s="34"/>
      <c r="M25" s="49"/>
      <c r="N25" s="34"/>
    </row>
    <row r="26" spans="2:14" ht="12.75">
      <c r="B26" s="48">
        <f>B12</f>
        <v>0.98</v>
      </c>
      <c r="C26" s="34" t="s">
        <v>121</v>
      </c>
      <c r="D26" s="48">
        <v>0.97</v>
      </c>
      <c r="E26" s="49" t="s">
        <v>64</v>
      </c>
      <c r="F26" s="48">
        <f>Shipping_loss</f>
        <v>0.995</v>
      </c>
      <c r="G26" s="49" t="s">
        <v>6</v>
      </c>
      <c r="I26" s="39" t="s">
        <v>193</v>
      </c>
      <c r="J26" s="59">
        <f>'Cost Model'!B26</f>
        <v>1373.6272446006083</v>
      </c>
      <c r="K26" s="34"/>
      <c r="L26" s="34"/>
      <c r="M26" s="49"/>
      <c r="N26" s="34"/>
    </row>
    <row r="27" spans="2:14" ht="12.75">
      <c r="B27" s="48">
        <f>Shipping_loss</f>
        <v>0.995</v>
      </c>
      <c r="C27" s="34" t="s">
        <v>119</v>
      </c>
      <c r="D27" s="48">
        <f>Shipping_loss</f>
        <v>0.995</v>
      </c>
      <c r="E27" s="49" t="s">
        <v>6</v>
      </c>
      <c r="F27" s="56">
        <f>PRODUCT(F22:F26)</f>
        <v>0.9311185125</v>
      </c>
      <c r="G27" s="57" t="s">
        <v>164</v>
      </c>
      <c r="I27" s="39" t="s">
        <v>194</v>
      </c>
      <c r="J27" s="59">
        <f>'Cost Model'!B27</f>
        <v>1.3736272446006084</v>
      </c>
      <c r="K27" s="34"/>
      <c r="L27" s="34"/>
      <c r="M27" s="49"/>
      <c r="N27" s="34"/>
    </row>
    <row r="28" spans="2:14" ht="12.75">
      <c r="B28" s="48">
        <f>B14</f>
        <v>0.98</v>
      </c>
      <c r="C28" s="34" t="s">
        <v>122</v>
      </c>
      <c r="D28" s="56">
        <f>PRODUCT(D22:D27)</f>
        <v>0.8774721658663792</v>
      </c>
      <c r="E28" s="57" t="s">
        <v>180</v>
      </c>
      <c r="F28" s="48">
        <v>1</v>
      </c>
      <c r="G28" s="49" t="s">
        <v>166</v>
      </c>
      <c r="I28" s="39" t="s">
        <v>31</v>
      </c>
      <c r="J28" s="59">
        <f>'Cost Model'!B28</f>
        <v>699.4553661826775</v>
      </c>
      <c r="K28" s="34"/>
      <c r="L28" s="34"/>
      <c r="M28" s="49"/>
      <c r="N28" s="34"/>
    </row>
    <row r="29" spans="2:14" ht="12.75">
      <c r="B29" s="48">
        <f>Shipping_loss</f>
        <v>0.995</v>
      </c>
      <c r="C29" s="34" t="s">
        <v>119</v>
      </c>
      <c r="D29" s="48">
        <v>0.98</v>
      </c>
      <c r="E29" s="49" t="s">
        <v>23</v>
      </c>
      <c r="F29" s="48">
        <v>0.95</v>
      </c>
      <c r="G29" s="49" t="s">
        <v>22</v>
      </c>
      <c r="I29" s="39" t="s">
        <v>195</v>
      </c>
      <c r="J29" s="59">
        <f>'Cost Model'!B29</f>
        <v>1868.3208516142754</v>
      </c>
      <c r="K29" s="34"/>
      <c r="L29" s="34"/>
      <c r="M29" s="49"/>
      <c r="N29" s="34"/>
    </row>
    <row r="30" spans="2:14" ht="12.75">
      <c r="B30" s="56">
        <f>PRODUCT(B22:B29)</f>
        <v>0.794393096299771</v>
      </c>
      <c r="C30" s="68" t="s">
        <v>133</v>
      </c>
      <c r="D30" s="48">
        <v>0.95</v>
      </c>
      <c r="E30" s="49" t="s">
        <v>24</v>
      </c>
      <c r="F30" s="48">
        <f>Shipping_loss</f>
        <v>0.995</v>
      </c>
      <c r="G30" s="49" t="s">
        <v>6</v>
      </c>
      <c r="I30" s="39" t="s">
        <v>196</v>
      </c>
      <c r="J30" s="59">
        <f>'Cost Model'!B30</f>
        <v>1718.821659306948</v>
      </c>
      <c r="K30" s="34"/>
      <c r="L30" s="34"/>
      <c r="M30" s="49"/>
      <c r="N30" s="34"/>
    </row>
    <row r="31" spans="2:14" ht="12.75">
      <c r="B31" s="48">
        <v>1</v>
      </c>
      <c r="C31" s="34" t="s">
        <v>123</v>
      </c>
      <c r="D31" s="48">
        <v>0.98</v>
      </c>
      <c r="E31" s="49" t="s">
        <v>148</v>
      </c>
      <c r="F31" s="50">
        <v>0.9</v>
      </c>
      <c r="G31" s="49" t="s">
        <v>168</v>
      </c>
      <c r="I31" s="39" t="s">
        <v>197</v>
      </c>
      <c r="J31" s="59">
        <f>'Cost Model'!B31</f>
        <v>503.17117929711463</v>
      </c>
      <c r="K31" s="34"/>
      <c r="L31" s="34"/>
      <c r="M31" s="49"/>
      <c r="N31" s="34"/>
    </row>
    <row r="32" spans="2:14" ht="12.75">
      <c r="B32" s="48">
        <v>1</v>
      </c>
      <c r="C32" s="34" t="s">
        <v>124</v>
      </c>
      <c r="D32" s="48">
        <f>Shipping_loss</f>
        <v>0.995</v>
      </c>
      <c r="E32" s="49" t="s">
        <v>6</v>
      </c>
      <c r="F32" s="58">
        <f>PRODUCT(F28:F31)</f>
        <v>0.850725</v>
      </c>
      <c r="G32" s="57" t="s">
        <v>169</v>
      </c>
      <c r="I32" s="39" t="s">
        <v>198</v>
      </c>
      <c r="J32" s="59">
        <f>'Cost Model'!B32</f>
        <v>1276.2573099415206</v>
      </c>
      <c r="K32" s="34"/>
      <c r="L32" s="34"/>
      <c r="M32" s="49"/>
      <c r="N32" s="34"/>
    </row>
    <row r="33" spans="2:14" ht="12.75">
      <c r="B33" s="48">
        <v>0.95</v>
      </c>
      <c r="C33" s="34" t="s">
        <v>128</v>
      </c>
      <c r="D33" s="48">
        <v>0.95</v>
      </c>
      <c r="E33" s="49" t="s">
        <v>26</v>
      </c>
      <c r="F33" s="52">
        <v>1</v>
      </c>
      <c r="G33" s="49" t="s">
        <v>170</v>
      </c>
      <c r="I33" s="39" t="s">
        <v>199</v>
      </c>
      <c r="J33" s="59">
        <f>'Cost Model'!B33</f>
        <v>373.6140350877194</v>
      </c>
      <c r="K33" s="34"/>
      <c r="L33" s="34"/>
      <c r="M33" s="49"/>
      <c r="N33" s="34"/>
    </row>
    <row r="34" spans="2:14" ht="12.75">
      <c r="B34" s="56">
        <f>PRODUCT(B31:B33)</f>
        <v>0.95</v>
      </c>
      <c r="C34" s="68" t="s">
        <v>136</v>
      </c>
      <c r="D34" s="48">
        <f>Shipping_loss</f>
        <v>0.995</v>
      </c>
      <c r="E34" s="49" t="s">
        <v>6</v>
      </c>
      <c r="F34" s="52">
        <v>0.95</v>
      </c>
      <c r="G34" s="49" t="s">
        <v>63</v>
      </c>
      <c r="I34" s="39" t="s">
        <v>200</v>
      </c>
      <c r="J34" s="59">
        <f>'Cost Model'!B34</f>
        <v>1212.4444444444446</v>
      </c>
      <c r="K34" s="34"/>
      <c r="L34" s="34"/>
      <c r="M34" s="49"/>
      <c r="N34" s="34"/>
    </row>
    <row r="35" spans="2:14" ht="12.75">
      <c r="B35" s="48">
        <v>0.75</v>
      </c>
      <c r="C35" s="34" t="s">
        <v>125</v>
      </c>
      <c r="D35" s="39"/>
      <c r="E35" s="49"/>
      <c r="F35" s="52">
        <v>0.9</v>
      </c>
      <c r="G35" s="49" t="s">
        <v>168</v>
      </c>
      <c r="I35" s="39" t="s">
        <v>201</v>
      </c>
      <c r="J35" s="59">
        <f>'Cost Model'!B35</f>
        <v>354.9333333333334</v>
      </c>
      <c r="K35" s="34"/>
      <c r="L35" s="34"/>
      <c r="M35" s="49"/>
      <c r="N35" s="34"/>
    </row>
    <row r="36" spans="2:14" ht="12.75">
      <c r="B36" s="48">
        <f>Shipping_loss</f>
        <v>0.995</v>
      </c>
      <c r="C36" s="34" t="s">
        <v>126</v>
      </c>
      <c r="D36" s="48"/>
      <c r="E36" s="49"/>
      <c r="F36" s="52">
        <v>0.9</v>
      </c>
      <c r="G36" s="49" t="s">
        <v>171</v>
      </c>
      <c r="I36" s="39" t="s">
        <v>202</v>
      </c>
      <c r="J36" s="59">
        <f>'Cost Model'!B36</f>
        <v>62.58191542507863</v>
      </c>
      <c r="K36" s="34"/>
      <c r="L36" s="34"/>
      <c r="M36" s="49"/>
      <c r="N36" s="34"/>
    </row>
    <row r="37" spans="2:14" ht="12.75">
      <c r="B37" s="48">
        <v>0.95</v>
      </c>
      <c r="C37" s="34" t="s">
        <v>127</v>
      </c>
      <c r="D37" s="48"/>
      <c r="E37" s="49"/>
      <c r="F37" s="58">
        <f>PRODUCT(F33:F36)</f>
        <v>0.7695</v>
      </c>
      <c r="G37" s="57" t="s">
        <v>172</v>
      </c>
      <c r="I37" s="39" t="s">
        <v>203</v>
      </c>
      <c r="J37" s="59">
        <f>'Cost Model'!B37</f>
        <v>69.18778427550359</v>
      </c>
      <c r="K37" s="34"/>
      <c r="L37" s="34"/>
      <c r="M37" s="49"/>
      <c r="N37" s="34"/>
    </row>
    <row r="38" spans="2:14" ht="12.75">
      <c r="B38" s="48">
        <f>Shipping_loss</f>
        <v>0.995</v>
      </c>
      <c r="C38" s="34" t="s">
        <v>126</v>
      </c>
      <c r="D38" s="39"/>
      <c r="E38" s="70">
        <f>PRODUCT(D28:D34)</f>
        <v>0.7529720794052226</v>
      </c>
      <c r="F38" s="53"/>
      <c r="G38" s="49"/>
      <c r="I38" s="39" t="s">
        <v>107</v>
      </c>
      <c r="J38" s="59">
        <f>'Cost Model'!B38</f>
        <v>1449.1905209313284</v>
      </c>
      <c r="K38" s="34"/>
      <c r="L38" s="34"/>
      <c r="M38" s="49"/>
      <c r="N38" s="34"/>
    </row>
    <row r="39" spans="2:14" ht="13.5" thickBot="1">
      <c r="B39" s="67">
        <f>PRODUCT(B35:B38)</f>
        <v>0.7053928124999999</v>
      </c>
      <c r="C39" s="69" t="s">
        <v>134</v>
      </c>
      <c r="D39" s="40"/>
      <c r="E39" s="55" t="s">
        <v>181</v>
      </c>
      <c r="F39" s="54"/>
      <c r="G39" s="55"/>
      <c r="I39" s="39" t="s">
        <v>175</v>
      </c>
      <c r="J39" s="59">
        <f>'Cost Model'!B39</f>
        <v>323.5143286402164</v>
      </c>
      <c r="K39" s="34"/>
      <c r="L39" s="34"/>
      <c r="M39" s="49"/>
      <c r="N39" s="34"/>
    </row>
    <row r="40" spans="4:14" ht="12.75">
      <c r="D40" s="34"/>
      <c r="E40" s="35"/>
      <c r="F40" s="34"/>
      <c r="G40" s="35"/>
      <c r="I40" s="39" t="s">
        <v>176</v>
      </c>
      <c r="J40" s="59">
        <f>'Cost Model'!B40</f>
        <v>113.79940816447404</v>
      </c>
      <c r="K40" s="34"/>
      <c r="L40" s="34"/>
      <c r="M40" s="49"/>
      <c r="N40" s="34"/>
    </row>
    <row r="41" spans="4:14" ht="13.5" thickBot="1">
      <c r="D41" s="34"/>
      <c r="E41" s="35"/>
      <c r="F41" s="34"/>
      <c r="G41" s="35"/>
      <c r="I41" s="40" t="s">
        <v>177</v>
      </c>
      <c r="J41" s="63">
        <f>'Cost Model'!B41</f>
        <v>657.8543839597551</v>
      </c>
      <c r="K41" s="64"/>
      <c r="L41" s="64"/>
      <c r="M41" s="65"/>
      <c r="N41" s="34"/>
    </row>
    <row r="42" spans="2:3" ht="12.75">
      <c r="B42" s="34"/>
      <c r="C42" s="34"/>
    </row>
    <row r="43" spans="2:6" ht="12.75">
      <c r="B43" s="34"/>
      <c r="C43" s="34"/>
      <c r="E43" t="s">
        <v>157</v>
      </c>
      <c r="F43" s="45">
        <f>0.5*1+0.5*0.66667</f>
        <v>0.8333349999999999</v>
      </c>
    </row>
    <row r="44" spans="2:3" ht="12.75">
      <c r="B44" s="29">
        <v>0.995</v>
      </c>
      <c r="C44" t="s">
        <v>12</v>
      </c>
    </row>
  </sheetData>
  <mergeCells count="3">
    <mergeCell ref="F4:G4"/>
    <mergeCell ref="D4:E4"/>
    <mergeCell ref="B4:C4"/>
  </mergeCells>
  <printOptions/>
  <pageMargins left="0.75" right="0.75" top="1" bottom="1" header="0.5" footer="0.5"/>
  <pageSetup fitToHeight="1" fitToWidth="1" horizontalDpi="600" verticalDpi="600" orientation="landscape" paperSize="9" scale="80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5">
      <selection activeCell="E7" sqref="E7"/>
    </sheetView>
  </sheetViews>
  <sheetFormatPr defaultColWidth="9.140625" defaultRowHeight="12.75"/>
  <cols>
    <col min="2" max="2" width="19.57421875" style="0" bestFit="1" customWidth="1"/>
    <col min="3" max="3" width="8.00390625" style="0" bestFit="1" customWidth="1"/>
    <col min="4" max="4" width="19.57421875" style="0" bestFit="1" customWidth="1"/>
    <col min="6" max="6" width="16.8515625" style="0" bestFit="1" customWidth="1"/>
  </cols>
  <sheetData>
    <row r="1" ht="12.75">
      <c r="A1" t="s">
        <v>0</v>
      </c>
    </row>
    <row r="2" ht="12.75">
      <c r="A2" t="s">
        <v>101</v>
      </c>
    </row>
    <row r="4" spans="1:6" ht="12.75">
      <c r="A4" s="2"/>
      <c r="B4" s="3" t="s">
        <v>1</v>
      </c>
      <c r="C4" s="2"/>
      <c r="D4" s="3" t="s">
        <v>3</v>
      </c>
      <c r="E4" s="2"/>
      <c r="F4" s="3" t="s">
        <v>29</v>
      </c>
    </row>
    <row r="5" spans="1:6" ht="15">
      <c r="A5" s="4" t="s">
        <v>11</v>
      </c>
      <c r="B5" s="5" t="s">
        <v>2</v>
      </c>
      <c r="C5" s="8" t="s">
        <v>11</v>
      </c>
      <c r="D5" s="5" t="s">
        <v>2</v>
      </c>
      <c r="E5" s="8" t="s">
        <v>11</v>
      </c>
      <c r="F5" s="5" t="s">
        <v>2</v>
      </c>
    </row>
    <row r="6" spans="1:6" ht="12.75">
      <c r="A6" s="20">
        <v>0.3</v>
      </c>
      <c r="B6" s="6" t="s">
        <v>5</v>
      </c>
      <c r="C6" s="20">
        <v>1</v>
      </c>
      <c r="D6" s="6" t="s">
        <v>5</v>
      </c>
      <c r="E6" s="20">
        <v>0.67</v>
      </c>
      <c r="F6" s="6" t="s">
        <v>5</v>
      </c>
    </row>
    <row r="7" spans="1:6" ht="12.75">
      <c r="A7" s="20">
        <f>Shipping_loss</f>
        <v>0.995</v>
      </c>
      <c r="B7" s="6" t="s">
        <v>6</v>
      </c>
      <c r="C7" s="20">
        <f>Shipping_loss</f>
        <v>0.995</v>
      </c>
      <c r="D7" s="6" t="s">
        <v>6</v>
      </c>
      <c r="E7" s="20">
        <v>0.95</v>
      </c>
      <c r="F7" s="6" t="s">
        <v>14</v>
      </c>
    </row>
    <row r="8" spans="1:6" ht="12.75">
      <c r="A8" s="20">
        <v>0.97</v>
      </c>
      <c r="B8" s="6" t="s">
        <v>7</v>
      </c>
      <c r="C8" s="20">
        <v>0.9</v>
      </c>
      <c r="D8" s="6" t="s">
        <v>7</v>
      </c>
      <c r="E8" s="20">
        <f>Shipping_loss</f>
        <v>0.995</v>
      </c>
      <c r="F8" s="6" t="s">
        <v>6</v>
      </c>
    </row>
    <row r="9" spans="1:6" ht="12.75">
      <c r="A9" s="20">
        <f>Shipping_loss</f>
        <v>0.995</v>
      </c>
      <c r="B9" s="6" t="s">
        <v>6</v>
      </c>
      <c r="C9" s="20">
        <f>Shipping_loss</f>
        <v>0.995</v>
      </c>
      <c r="D9" s="6" t="s">
        <v>6</v>
      </c>
      <c r="E9" s="24">
        <v>0.95</v>
      </c>
      <c r="F9" s="6" t="s">
        <v>7</v>
      </c>
    </row>
    <row r="10" spans="1:6" ht="12.75">
      <c r="A10" s="20">
        <v>0.97</v>
      </c>
      <c r="B10" s="6" t="s">
        <v>8</v>
      </c>
      <c r="C10" s="20">
        <v>0.97</v>
      </c>
      <c r="D10" s="6" t="s">
        <v>8</v>
      </c>
      <c r="E10" s="20">
        <f>Shipping_loss</f>
        <v>0.995</v>
      </c>
      <c r="F10" s="6" t="s">
        <v>6</v>
      </c>
    </row>
    <row r="11" spans="1:6" ht="12.75">
      <c r="A11" s="20">
        <f>Shipping_loss</f>
        <v>0.995</v>
      </c>
      <c r="B11" s="6" t="s">
        <v>6</v>
      </c>
      <c r="C11" s="21">
        <f>Shipping_loss</f>
        <v>0.995</v>
      </c>
      <c r="D11" t="s">
        <v>6</v>
      </c>
      <c r="E11" s="20"/>
      <c r="F11" s="6"/>
    </row>
    <row r="12" spans="1:6" ht="12.75">
      <c r="A12" s="20">
        <v>0.995</v>
      </c>
      <c r="B12" s="6" t="s">
        <v>13</v>
      </c>
      <c r="C12" s="21">
        <f>A12^16</f>
        <v>0.9229311239742364</v>
      </c>
      <c r="D12" s="6" t="s">
        <v>13</v>
      </c>
      <c r="E12" s="9"/>
      <c r="F12" s="6"/>
    </row>
    <row r="13" spans="1:6" ht="12.75">
      <c r="A13" s="20">
        <f>Shipping_loss</f>
        <v>0.995</v>
      </c>
      <c r="B13" s="6" t="s">
        <v>6</v>
      </c>
      <c r="C13" s="21">
        <f>Shipping_loss</f>
        <v>0.995</v>
      </c>
      <c r="D13" s="6" t="s">
        <v>6</v>
      </c>
      <c r="E13" s="9"/>
      <c r="F13" s="6"/>
    </row>
    <row r="14" spans="1:6" ht="12.75">
      <c r="A14" s="20">
        <v>0.95</v>
      </c>
      <c r="B14" s="6" t="s">
        <v>65</v>
      </c>
      <c r="C14" s="21">
        <v>0.97</v>
      </c>
      <c r="D14" s="6" t="s">
        <v>9</v>
      </c>
      <c r="E14" s="9"/>
      <c r="F14" s="6"/>
    </row>
    <row r="15" spans="1:6" ht="12.75">
      <c r="A15" s="20">
        <f>Shipping_loss</f>
        <v>0.995</v>
      </c>
      <c r="B15" s="6" t="s">
        <v>6</v>
      </c>
      <c r="C15" s="21">
        <v>0.99</v>
      </c>
      <c r="D15" s="6" t="s">
        <v>10</v>
      </c>
      <c r="E15" s="9"/>
      <c r="F15" s="6"/>
    </row>
    <row r="16" spans="1:6" ht="12.75">
      <c r="A16" s="20">
        <v>0.97</v>
      </c>
      <c r="B16" s="6" t="s">
        <v>9</v>
      </c>
      <c r="C16" s="21">
        <f>Shipping_loss</f>
        <v>0.995</v>
      </c>
      <c r="D16" s="6" t="s">
        <v>6</v>
      </c>
      <c r="E16" s="9"/>
      <c r="F16" s="6"/>
    </row>
    <row r="17" spans="1:6" ht="12.75">
      <c r="A17" s="20">
        <v>0.97</v>
      </c>
      <c r="B17" s="6" t="s">
        <v>10</v>
      </c>
      <c r="C17" s="20">
        <v>0.99</v>
      </c>
      <c r="D17" s="6" t="s">
        <v>22</v>
      </c>
      <c r="E17" s="9"/>
      <c r="F17" s="6"/>
    </row>
    <row r="18" spans="1:6" ht="12.75">
      <c r="A18" s="20">
        <f>Shipping_loss</f>
        <v>0.995</v>
      </c>
      <c r="B18" s="6" t="s">
        <v>6</v>
      </c>
      <c r="C18" s="15"/>
      <c r="D18" s="6"/>
      <c r="E18" s="15"/>
      <c r="F18" s="6"/>
    </row>
    <row r="19" spans="1:6" ht="12.75">
      <c r="A19" s="20">
        <v>0.99</v>
      </c>
      <c r="B19" s="6" t="s">
        <v>22</v>
      </c>
      <c r="C19" s="9"/>
      <c r="D19" s="6"/>
      <c r="E19" s="9"/>
      <c r="F19" s="6"/>
    </row>
    <row r="20" spans="1:6" ht="12.75">
      <c r="A20" s="16" t="s">
        <v>11</v>
      </c>
      <c r="B20" s="17">
        <f>PRODUCT(A6:A19)</f>
        <v>0.24117292847358907</v>
      </c>
      <c r="C20" s="9"/>
      <c r="D20" s="17">
        <f>PRODUCT(C6:C17)</f>
        <v>0.7470351944048749</v>
      </c>
      <c r="E20" s="9"/>
      <c r="F20" s="17">
        <f>PRODUCT(E6:E16)</f>
        <v>0.5986433668749999</v>
      </c>
    </row>
    <row r="21" spans="1:6" ht="12.75">
      <c r="A21" s="18"/>
      <c r="B21" s="7" t="s">
        <v>16</v>
      </c>
      <c r="C21" s="10"/>
      <c r="D21" s="7" t="s">
        <v>17</v>
      </c>
      <c r="E21" s="10"/>
      <c r="F21" s="7" t="s">
        <v>102</v>
      </c>
    </row>
    <row r="22" ht="12.75">
      <c r="A22" s="19"/>
    </row>
    <row r="23" spans="1:4" ht="12.75">
      <c r="A23" s="19"/>
      <c r="C23" s="11" t="s">
        <v>11</v>
      </c>
      <c r="D23" s="3" t="s">
        <v>19</v>
      </c>
    </row>
    <row r="24" spans="1:4" ht="12.75">
      <c r="A24" s="19"/>
      <c r="C24" s="20">
        <v>0.99</v>
      </c>
      <c r="D24" s="6" t="s">
        <v>20</v>
      </c>
    </row>
    <row r="25" spans="1:4" ht="12.75">
      <c r="A25" s="19"/>
      <c r="C25" s="20">
        <f>C24^18</f>
        <v>0.8345137614500874</v>
      </c>
      <c r="D25" s="6" t="s">
        <v>21</v>
      </c>
    </row>
    <row r="26" spans="1:4" ht="12.75">
      <c r="A26" s="19"/>
      <c r="C26" s="20">
        <f>Shipping_loss</f>
        <v>0.995</v>
      </c>
      <c r="D26" s="6" t="s">
        <v>6</v>
      </c>
    </row>
    <row r="27" spans="1:4" ht="12.75">
      <c r="A27" s="19"/>
      <c r="C27" s="20">
        <v>0.99</v>
      </c>
      <c r="D27" s="6" t="s">
        <v>64</v>
      </c>
    </row>
    <row r="28" spans="1:4" ht="12.75">
      <c r="A28" s="19"/>
      <c r="C28" s="20">
        <f>Shipping_loss</f>
        <v>0.995</v>
      </c>
      <c r="D28" s="6" t="s">
        <v>6</v>
      </c>
    </row>
    <row r="29" spans="1:4" ht="12.75">
      <c r="A29" s="19"/>
      <c r="C29" s="20">
        <v>0.98</v>
      </c>
      <c r="D29" s="6" t="s">
        <v>25</v>
      </c>
    </row>
    <row r="30" spans="1:4" ht="12.75">
      <c r="A30" s="19"/>
      <c r="C30" s="20">
        <v>0.95</v>
      </c>
      <c r="D30" s="6" t="s">
        <v>26</v>
      </c>
    </row>
    <row r="31" spans="1:4" ht="12.75">
      <c r="A31" s="19"/>
      <c r="C31" s="20">
        <f>Shipping_loss</f>
        <v>0.995</v>
      </c>
      <c r="D31" s="6" t="s">
        <v>6</v>
      </c>
    </row>
    <row r="32" spans="1:4" ht="12.75">
      <c r="A32" s="19"/>
      <c r="C32" s="9"/>
      <c r="D32" s="6"/>
    </row>
    <row r="33" spans="1:4" ht="12.75">
      <c r="A33" s="19"/>
      <c r="C33" s="9"/>
      <c r="D33" s="17">
        <f>PRODUCT(C24:C31)</f>
        <v>0.7501063036874742</v>
      </c>
    </row>
    <row r="34" spans="1:4" ht="12.75">
      <c r="A34" s="19"/>
      <c r="C34" s="12"/>
      <c r="D34" s="7" t="s">
        <v>27</v>
      </c>
    </row>
    <row r="35" ht="12.75">
      <c r="A35" s="19"/>
    </row>
    <row r="36" spans="1:2" ht="12.75">
      <c r="A36" s="30">
        <v>0.995</v>
      </c>
      <c r="B36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B6" sqref="B6"/>
    </sheetView>
  </sheetViews>
  <sheetFormatPr defaultColWidth="9.140625" defaultRowHeight="12.75"/>
  <cols>
    <col min="1" max="1" width="30.7109375" style="0" customWidth="1"/>
    <col min="3" max="3" width="8.7109375" style="0" bestFit="1" customWidth="1"/>
  </cols>
  <sheetData>
    <row r="1" ht="12.75">
      <c r="A1" t="s">
        <v>149</v>
      </c>
    </row>
    <row r="2" ht="12.75">
      <c r="A2" t="s">
        <v>151</v>
      </c>
    </row>
    <row r="4" spans="1:3" ht="12.75">
      <c r="A4" t="s">
        <v>137</v>
      </c>
      <c r="B4" s="13">
        <f>264*Spare</f>
        <v>290.40000000000003</v>
      </c>
      <c r="C4" t="s">
        <v>185</v>
      </c>
    </row>
    <row r="5" spans="1:3" ht="12.75">
      <c r="A5" t="s">
        <v>150</v>
      </c>
      <c r="B5" s="13">
        <f>728*Spare</f>
        <v>800.8000000000001</v>
      </c>
      <c r="C5" t="s">
        <v>185</v>
      </c>
    </row>
    <row r="6" spans="1:3" ht="12.75">
      <c r="A6" t="s">
        <v>159</v>
      </c>
      <c r="B6" s="13">
        <f>4*66*Spare</f>
        <v>290.40000000000003</v>
      </c>
      <c r="C6" t="s">
        <v>186</v>
      </c>
    </row>
    <row r="7" spans="1:6" ht="12.75">
      <c r="A7" t="s">
        <v>138</v>
      </c>
      <c r="B7" s="13">
        <f>B4*16</f>
        <v>4646.400000000001</v>
      </c>
      <c r="D7" t="s">
        <v>183</v>
      </c>
      <c r="F7">
        <v>1.1</v>
      </c>
    </row>
    <row r="8" spans="1:2" ht="12.75">
      <c r="A8" t="s">
        <v>141</v>
      </c>
      <c r="B8">
        <v>130</v>
      </c>
    </row>
    <row r="9" spans="1:2" ht="12.75">
      <c r="A9" t="s">
        <v>139</v>
      </c>
      <c r="B9" s="13">
        <f>16*B5</f>
        <v>12812.800000000001</v>
      </c>
    </row>
    <row r="10" spans="1:2" ht="12.75">
      <c r="A10" t="s">
        <v>140</v>
      </c>
      <c r="B10">
        <v>231</v>
      </c>
    </row>
    <row r="11" spans="1:2" ht="12.75">
      <c r="A11" t="s">
        <v>28</v>
      </c>
      <c r="B11">
        <v>3</v>
      </c>
    </row>
    <row r="12" spans="1:2" ht="12.75">
      <c r="A12" t="s">
        <v>131</v>
      </c>
      <c r="B12" s="13">
        <f>B4+B5</f>
        <v>1091.2</v>
      </c>
    </row>
    <row r="13" spans="1:2" ht="12.75">
      <c r="A13" t="s">
        <v>132</v>
      </c>
      <c r="B13" s="13">
        <v>1000</v>
      </c>
    </row>
    <row r="14" spans="1:3" ht="12.75">
      <c r="A14" t="s">
        <v>161</v>
      </c>
      <c r="B14" s="13">
        <f>B6*Spare</f>
        <v>319.44000000000005</v>
      </c>
      <c r="C14" t="s">
        <v>184</v>
      </c>
    </row>
    <row r="15" spans="1:3" ht="12.75">
      <c r="A15" t="s">
        <v>162</v>
      </c>
      <c r="B15" s="13">
        <f>B6*Spare/6</f>
        <v>53.24000000000001</v>
      </c>
      <c r="C15" t="s">
        <v>184</v>
      </c>
    </row>
    <row r="16" spans="1:3" ht="12.75">
      <c r="A16" t="s">
        <v>163</v>
      </c>
      <c r="B16" s="13">
        <f>B15</f>
        <v>53.24000000000001</v>
      </c>
      <c r="C16" t="s">
        <v>184</v>
      </c>
    </row>
    <row r="17" spans="2:7" ht="12.75">
      <c r="B17" s="1"/>
      <c r="C17" s="1"/>
      <c r="D17" s="14"/>
      <c r="E17" s="1"/>
      <c r="F17" s="1"/>
      <c r="G17" s="14"/>
    </row>
    <row r="18" spans="1:5" ht="12.75">
      <c r="A18" t="s">
        <v>30</v>
      </c>
      <c r="B18" s="13">
        <f>(B4+B5)/Flex!E38</f>
        <v>1449.1905209313284</v>
      </c>
      <c r="E18" s="13"/>
    </row>
    <row r="19" spans="1:5" ht="12.75">
      <c r="A19" t="s">
        <v>142</v>
      </c>
      <c r="B19" s="13">
        <f>B4/Flex!E38</f>
        <v>385.67167089301483</v>
      </c>
      <c r="E19" s="13"/>
    </row>
    <row r="20" spans="1:5" ht="12.75">
      <c r="A20" t="s">
        <v>143</v>
      </c>
      <c r="B20" s="13">
        <f>B5/Flex!E38</f>
        <v>1063.5188500383135</v>
      </c>
      <c r="E20" s="13"/>
    </row>
    <row r="21" spans="1:5" ht="12.75">
      <c r="A21" t="s">
        <v>158</v>
      </c>
      <c r="B21" s="13">
        <f>B6/Flex!E38</f>
        <v>385.67167089301483</v>
      </c>
      <c r="E21" s="13"/>
    </row>
    <row r="22" spans="1:5" ht="12.75">
      <c r="A22" t="s">
        <v>144</v>
      </c>
      <c r="B22" s="13">
        <f>B19*16/Flex!B18</f>
        <v>43794.43997506898</v>
      </c>
      <c r="E22" s="13"/>
    </row>
    <row r="23" spans="1:7" ht="12.75">
      <c r="A23" t="s">
        <v>145</v>
      </c>
      <c r="B23" s="13">
        <f>B22/B8</f>
        <v>336.8803075005306</v>
      </c>
      <c r="C23" s="13"/>
      <c r="D23" s="13"/>
      <c r="E23" s="13"/>
      <c r="F23" s="13"/>
      <c r="G23" s="13"/>
    </row>
    <row r="24" spans="1:7" ht="12.75">
      <c r="A24" t="s">
        <v>156</v>
      </c>
      <c r="B24" s="13">
        <f>B20*16/Flex!A18</f>
        <v>27373.73682482089</v>
      </c>
      <c r="C24" s="13"/>
      <c r="D24" s="13"/>
      <c r="E24" s="13"/>
      <c r="F24" s="13"/>
      <c r="G24" s="13"/>
    </row>
    <row r="25" spans="1:7" ht="12.75">
      <c r="A25" t="s">
        <v>146</v>
      </c>
      <c r="B25" s="13">
        <f>B24/B10</f>
        <v>118.50102521567486</v>
      </c>
      <c r="C25" s="13"/>
      <c r="D25" s="13"/>
      <c r="E25" s="13"/>
      <c r="F25" s="13"/>
      <c r="G25" s="13"/>
    </row>
    <row r="26" spans="1:7" ht="12.75">
      <c r="A26" t="s">
        <v>129</v>
      </c>
      <c r="B26" s="13">
        <f>B12/Flex!B30</f>
        <v>1373.6272446006083</v>
      </c>
      <c r="C26" s="13"/>
      <c r="D26" s="13"/>
      <c r="E26" s="13"/>
      <c r="F26" s="13"/>
      <c r="G26" s="13"/>
    </row>
    <row r="27" spans="1:7" ht="12.75">
      <c r="A27" t="s">
        <v>130</v>
      </c>
      <c r="B27" s="13">
        <f>B26/B13</f>
        <v>1.3736272446006084</v>
      </c>
      <c r="C27" s="13"/>
      <c r="D27" s="13"/>
      <c r="E27" s="13"/>
      <c r="F27" s="13"/>
      <c r="G27" s="13"/>
    </row>
    <row r="28" spans="1:7" ht="12.75">
      <c r="A28" t="s">
        <v>31</v>
      </c>
      <c r="B28" s="13">
        <f>(B18/B11)/Flex!E18</f>
        <v>699.4553661826775</v>
      </c>
      <c r="C28" s="13"/>
      <c r="D28" s="13"/>
      <c r="E28" s="13"/>
      <c r="F28" s="13"/>
      <c r="G28" s="13"/>
    </row>
    <row r="29" spans="1:7" ht="12.75">
      <c r="A29" t="s">
        <v>113</v>
      </c>
      <c r="B29" s="13">
        <f>Flex!D28*B18/Flex!G18</f>
        <v>1868.3208516142754</v>
      </c>
      <c r="D29" s="13"/>
      <c r="E29" s="13"/>
      <c r="G29" s="13"/>
    </row>
    <row r="30" spans="1:7" ht="12.75">
      <c r="A30" t="s">
        <v>115</v>
      </c>
      <c r="B30" s="13">
        <f>B34/Flex!B39</f>
        <v>1718.821659306948</v>
      </c>
      <c r="D30" s="13"/>
      <c r="E30" s="13"/>
      <c r="G30" s="13"/>
    </row>
    <row r="31" spans="1:7" ht="12.75">
      <c r="A31" t="s">
        <v>178</v>
      </c>
      <c r="B31" s="13">
        <f>B35/Flex!B39</f>
        <v>503.17117929711463</v>
      </c>
      <c r="D31" s="13"/>
      <c r="E31" s="13"/>
      <c r="G31" s="13"/>
    </row>
    <row r="32" spans="1:7" ht="12.75">
      <c r="A32" t="s">
        <v>135</v>
      </c>
      <c r="B32" s="13">
        <f>B34/Flex!B34</f>
        <v>1276.2573099415206</v>
      </c>
      <c r="D32" s="13"/>
      <c r="E32" s="13"/>
      <c r="G32" s="13"/>
    </row>
    <row r="33" spans="1:7" ht="12.75">
      <c r="A33" t="s">
        <v>179</v>
      </c>
      <c r="B33" s="13">
        <f>B35/Flex!B34</f>
        <v>373.6140350877194</v>
      </c>
      <c r="D33" s="13"/>
      <c r="E33" s="13"/>
      <c r="G33" s="13"/>
    </row>
    <row r="34" spans="1:7" ht="12.75">
      <c r="A34" t="s">
        <v>114</v>
      </c>
      <c r="B34" s="13">
        <f>(B4+B5)/Flex!F31</f>
        <v>1212.4444444444446</v>
      </c>
      <c r="D34" s="13"/>
      <c r="E34" s="13"/>
      <c r="G34" s="13"/>
    </row>
    <row r="35" spans="1:7" ht="12.75">
      <c r="A35" t="s">
        <v>160</v>
      </c>
      <c r="B35" s="13">
        <f>(B14)/Flex!F31</f>
        <v>354.9333333333334</v>
      </c>
      <c r="D35" s="13"/>
      <c r="E35" s="13"/>
      <c r="G35" s="13"/>
    </row>
    <row r="36" spans="1:7" ht="12.75">
      <c r="A36" t="s">
        <v>173</v>
      </c>
      <c r="B36" s="13">
        <f>B15/Flex!F32</f>
        <v>62.58191542507863</v>
      </c>
      <c r="D36" s="13"/>
      <c r="E36" s="13"/>
      <c r="G36" s="13"/>
    </row>
    <row r="37" spans="1:7" ht="12.75">
      <c r="A37" t="s">
        <v>174</v>
      </c>
      <c r="B37" s="13">
        <f>B16/Flex!F37</f>
        <v>69.18778427550359</v>
      </c>
      <c r="D37" s="13"/>
      <c r="E37" s="13"/>
      <c r="G37" s="13"/>
    </row>
    <row r="38" spans="1:7" ht="12.75">
      <c r="A38" t="s">
        <v>107</v>
      </c>
      <c r="B38" s="13">
        <f>B18</f>
        <v>1449.1905209313284</v>
      </c>
      <c r="D38" s="13"/>
      <c r="E38" s="13"/>
      <c r="G38" s="13"/>
    </row>
    <row r="39" spans="1:7" ht="12.75">
      <c r="A39" t="s">
        <v>175</v>
      </c>
      <c r="B39" s="13">
        <f>B23*Flex!B7*Flex!B8*Flex!B9</f>
        <v>323.5143286402164</v>
      </c>
      <c r="C39" s="13"/>
      <c r="D39" s="13"/>
      <c r="E39" s="13"/>
      <c r="F39" s="13"/>
      <c r="G39" s="13"/>
    </row>
    <row r="40" spans="1:7" ht="12.75">
      <c r="A40" t="s">
        <v>176</v>
      </c>
      <c r="B40" s="13">
        <f>B25*Flex!A7*Flex!A8*Flex!A9</f>
        <v>113.79940816447404</v>
      </c>
      <c r="C40" s="13"/>
      <c r="D40" s="13"/>
      <c r="E40" s="13"/>
      <c r="F40" s="13"/>
      <c r="G40" s="13"/>
    </row>
    <row r="41" spans="1:7" ht="12.75">
      <c r="A41" t="s">
        <v>177</v>
      </c>
      <c r="B41" s="13">
        <f>B28*Flex!D7*Flex!D8*Flex!D9</f>
        <v>657.8543839597551</v>
      </c>
      <c r="C41" s="13"/>
      <c r="D41" s="13"/>
      <c r="E41" s="13"/>
      <c r="F41" s="13"/>
      <c r="G41" s="13"/>
    </row>
    <row r="43" spans="2:7" ht="12.75">
      <c r="B43" t="s">
        <v>32</v>
      </c>
      <c r="D43" s="13"/>
      <c r="G43" s="13"/>
    </row>
    <row r="45" ht="12.75">
      <c r="E45" s="13"/>
    </row>
    <row r="48" spans="1:8" ht="12.75">
      <c r="A48" t="s">
        <v>45</v>
      </c>
      <c r="F48">
        <v>2.06</v>
      </c>
      <c r="G48" t="s">
        <v>60</v>
      </c>
      <c r="H48">
        <v>5000</v>
      </c>
    </row>
    <row r="49" spans="1:8" ht="12.75">
      <c r="A49" t="s">
        <v>46</v>
      </c>
      <c r="F49">
        <v>0.35</v>
      </c>
      <c r="G49" t="s">
        <v>60</v>
      </c>
      <c r="H49">
        <v>1000</v>
      </c>
    </row>
    <row r="50" spans="1:8" ht="12.75">
      <c r="A50" t="s">
        <v>47</v>
      </c>
      <c r="F50">
        <v>0.2375</v>
      </c>
      <c r="G50" t="s">
        <v>60</v>
      </c>
      <c r="H50">
        <v>400</v>
      </c>
    </row>
    <row r="51" spans="1:8" ht="12.75">
      <c r="A51" t="s">
        <v>48</v>
      </c>
      <c r="F51">
        <v>0.075</v>
      </c>
      <c r="G51" t="s">
        <v>60</v>
      </c>
      <c r="H51">
        <v>300</v>
      </c>
    </row>
    <row r="52" ht="12.75">
      <c r="A52" t="s">
        <v>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3">
      <selection activeCell="E19" sqref="E19"/>
    </sheetView>
  </sheetViews>
  <sheetFormatPr defaultColWidth="9.140625" defaultRowHeight="12.75"/>
  <cols>
    <col min="1" max="1" width="16.7109375" style="0" customWidth="1"/>
    <col min="2" max="2" width="12.421875" style="0" customWidth="1"/>
    <col min="6" max="6" width="50.28125" style="0" customWidth="1"/>
  </cols>
  <sheetData>
    <row r="1" ht="12.75">
      <c r="A1" t="s">
        <v>66</v>
      </c>
    </row>
    <row r="2" ht="12.75">
      <c r="A2" t="s">
        <v>67</v>
      </c>
    </row>
    <row r="4" spans="1:6" s="1" customFormat="1" ht="12.75">
      <c r="A4" s="1" t="s">
        <v>2</v>
      </c>
      <c r="B4" s="1" t="s">
        <v>68</v>
      </c>
      <c r="C4" s="1" t="s">
        <v>69</v>
      </c>
      <c r="D4" s="1" t="s">
        <v>70</v>
      </c>
      <c r="E4" s="1" t="s">
        <v>71</v>
      </c>
      <c r="F4" s="1" t="s">
        <v>72</v>
      </c>
    </row>
    <row r="5" spans="1:6" ht="12.75">
      <c r="A5" t="s">
        <v>73</v>
      </c>
      <c r="B5" s="13">
        <v>2</v>
      </c>
      <c r="C5" s="25"/>
      <c r="D5" s="25">
        <v>13.4</v>
      </c>
      <c r="E5" s="26">
        <f>B5/60*D5</f>
        <v>0.44666666666666666</v>
      </c>
      <c r="F5" t="s">
        <v>74</v>
      </c>
    </row>
    <row r="6" spans="1:6" ht="12.75">
      <c r="A6" t="s">
        <v>75</v>
      </c>
      <c r="B6" s="13"/>
      <c r="C6" s="25">
        <v>13.4</v>
      </c>
      <c r="D6" s="25"/>
      <c r="E6" s="26">
        <f>C6</f>
        <v>13.4</v>
      </c>
      <c r="F6" t="s">
        <v>76</v>
      </c>
    </row>
    <row r="7" spans="1:5" ht="12.75">
      <c r="A7" t="s">
        <v>15</v>
      </c>
      <c r="B7" s="13">
        <v>60</v>
      </c>
      <c r="C7" s="25"/>
      <c r="D7" s="25">
        <v>13.4</v>
      </c>
      <c r="E7" s="26">
        <f>B7/60*D7</f>
        <v>13.4</v>
      </c>
    </row>
    <row r="8" spans="1:6" ht="12.75">
      <c r="A8" t="s">
        <v>75</v>
      </c>
      <c r="B8" s="13">
        <v>5</v>
      </c>
      <c r="C8" s="25"/>
      <c r="D8" s="25">
        <v>13.4</v>
      </c>
      <c r="E8" s="26">
        <f>B8/60*D8</f>
        <v>1.1166666666666667</v>
      </c>
      <c r="F8" t="s">
        <v>77</v>
      </c>
    </row>
    <row r="9" spans="1:5" ht="12.75">
      <c r="A9" t="s">
        <v>78</v>
      </c>
      <c r="B9" s="13">
        <v>30</v>
      </c>
      <c r="C9" s="25"/>
      <c r="D9" s="25">
        <v>13.4</v>
      </c>
      <c r="E9" s="26">
        <f>B9/60*D9</f>
        <v>6.7</v>
      </c>
    </row>
    <row r="10" spans="1:6" ht="12.75">
      <c r="A10" t="s">
        <v>79</v>
      </c>
      <c r="B10" s="13"/>
      <c r="C10" s="25">
        <v>0.134</v>
      </c>
      <c r="D10" s="25"/>
      <c r="E10" s="26">
        <f>C10*(23*16+84)</f>
        <v>60.568000000000005</v>
      </c>
      <c r="F10" t="s">
        <v>80</v>
      </c>
    </row>
    <row r="11" spans="1:5" ht="12.75">
      <c r="A11" t="s">
        <v>81</v>
      </c>
      <c r="B11" s="13">
        <v>30</v>
      </c>
      <c r="C11" s="25"/>
      <c r="D11" s="25">
        <v>13.4</v>
      </c>
      <c r="E11" s="26">
        <f>B11/60*D11</f>
        <v>6.7</v>
      </c>
    </row>
    <row r="12" spans="1:5" ht="12.75">
      <c r="A12" t="s">
        <v>82</v>
      </c>
      <c r="B12" s="13">
        <v>30</v>
      </c>
      <c r="C12" s="25"/>
      <c r="D12" s="25">
        <v>13.4</v>
      </c>
      <c r="E12" s="26">
        <f>B12/60*D12</f>
        <v>6.7</v>
      </c>
    </row>
    <row r="13" spans="1:6" ht="12.75">
      <c r="A13" t="s">
        <v>83</v>
      </c>
      <c r="B13" s="13">
        <v>20</v>
      </c>
      <c r="C13" s="25"/>
      <c r="D13" s="25">
        <v>13.4</v>
      </c>
      <c r="E13" s="26">
        <f>B13/60*D13</f>
        <v>4.466666666666667</v>
      </c>
      <c r="F13" t="s">
        <v>84</v>
      </c>
    </row>
    <row r="14" spans="1:6" ht="12.75">
      <c r="A14" t="s">
        <v>85</v>
      </c>
      <c r="E14" s="26">
        <v>10.4</v>
      </c>
      <c r="F14" t="s">
        <v>86</v>
      </c>
    </row>
    <row r="15" spans="4:5" ht="12.75">
      <c r="D15" t="s">
        <v>87</v>
      </c>
      <c r="E15" s="26">
        <f>SUM(E5:E14)</f>
        <v>123.89800000000002</v>
      </c>
    </row>
    <row r="17" spans="1:5" s="1" customFormat="1" ht="12.75">
      <c r="A17" s="1" t="s">
        <v>88</v>
      </c>
      <c r="B17" s="1" t="s">
        <v>68</v>
      </c>
      <c r="C17" s="1" t="s">
        <v>69</v>
      </c>
      <c r="D17" s="1" t="s">
        <v>70</v>
      </c>
      <c r="E17" s="1" t="s">
        <v>71</v>
      </c>
    </row>
    <row r="18" spans="1:6" ht="12.75">
      <c r="A18" t="s">
        <v>89</v>
      </c>
      <c r="C18">
        <v>270</v>
      </c>
      <c r="E18">
        <v>270</v>
      </c>
      <c r="F18" t="s">
        <v>90</v>
      </c>
    </row>
    <row r="20" spans="1:6" ht="12.75">
      <c r="A20" t="s">
        <v>91</v>
      </c>
      <c r="F20" t="s">
        <v>92</v>
      </c>
    </row>
    <row r="21" spans="1:5" ht="12.75">
      <c r="A21" s="27" t="s">
        <v>93</v>
      </c>
      <c r="B21">
        <v>30</v>
      </c>
      <c r="D21" s="25">
        <v>13.4</v>
      </c>
      <c r="E21" s="26">
        <f>B21/60*D21</f>
        <v>6.7</v>
      </c>
    </row>
    <row r="22" spans="1:5" ht="12.75">
      <c r="A22" s="27" t="s">
        <v>94</v>
      </c>
      <c r="C22">
        <v>53.6</v>
      </c>
      <c r="E22">
        <f>C22</f>
        <v>53.6</v>
      </c>
    </row>
    <row r="23" spans="4:5" ht="12.75">
      <c r="D23" t="s">
        <v>95</v>
      </c>
      <c r="E23" s="26">
        <f>E21+E22</f>
        <v>60.300000000000004</v>
      </c>
    </row>
    <row r="24" spans="4:6" ht="12.75">
      <c r="D24" t="s">
        <v>96</v>
      </c>
      <c r="E24">
        <f>6/40*'Flex Cost'!E23</f>
        <v>9.045</v>
      </c>
      <c r="F24" t="s">
        <v>97</v>
      </c>
    </row>
    <row r="25" spans="4:6" ht="12.75">
      <c r="D25" s="28" t="s">
        <v>98</v>
      </c>
      <c r="E25" s="26">
        <f>SUM(E5:E14)+E18+E21+E24</f>
        <v>409.64300000000003</v>
      </c>
      <c r="F25" t="s">
        <v>99</v>
      </c>
    </row>
  </sheetData>
  <printOptions/>
  <pageMargins left="0.75" right="0.75" top="1" bottom="1" header="0.5" footer="0.5"/>
  <pageSetup horizontalDpi="300" verticalDpi="300" orientation="landscape" r:id="rId2"/>
  <headerFooter alignWithMargins="0">
    <oddHeader>&amp;C&amp;24Ge Flex Cost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3" sqref="A3:IV3"/>
    </sheetView>
  </sheetViews>
  <sheetFormatPr defaultColWidth="9.140625" defaultRowHeight="12.75"/>
  <cols>
    <col min="1" max="1" width="12.00390625" style="0" bestFit="1" customWidth="1"/>
    <col min="2" max="2" width="15.7109375" style="0" bestFit="1" customWidth="1"/>
    <col min="3" max="3" width="9.28125" style="0" bestFit="1" customWidth="1"/>
    <col min="4" max="4" width="15.7109375" style="0" bestFit="1" customWidth="1"/>
    <col min="5" max="5" width="29.28125" style="0" bestFit="1" customWidth="1"/>
  </cols>
  <sheetData>
    <row r="1" spans="1:5" ht="23.25">
      <c r="A1" s="82" t="s">
        <v>4</v>
      </c>
      <c r="B1" s="82"/>
      <c r="C1" s="82" t="s">
        <v>29</v>
      </c>
      <c r="D1" s="82"/>
      <c r="E1" s="32" t="s">
        <v>105</v>
      </c>
    </row>
    <row r="2" spans="1:5" ht="23.25">
      <c r="A2" s="31" t="s">
        <v>103</v>
      </c>
      <c r="B2" s="31" t="s">
        <v>104</v>
      </c>
      <c r="C2" s="31" t="s">
        <v>103</v>
      </c>
      <c r="D2" s="31" t="s">
        <v>104</v>
      </c>
      <c r="E2" s="32" t="s">
        <v>106</v>
      </c>
    </row>
    <row r="3" spans="1:6" ht="23.25">
      <c r="A3" s="33">
        <v>0.97</v>
      </c>
      <c r="B3" s="32">
        <v>111</v>
      </c>
      <c r="C3" s="33">
        <v>0.6</v>
      </c>
      <c r="D3" s="32">
        <v>450</v>
      </c>
      <c r="E3" s="31">
        <v>1039</v>
      </c>
      <c r="F3" s="32" t="s">
        <v>108</v>
      </c>
    </row>
    <row r="4" spans="1:6" ht="23.25">
      <c r="A4" s="33">
        <v>0.72</v>
      </c>
      <c r="B4" s="32">
        <v>305</v>
      </c>
      <c r="C4" s="33">
        <v>0.6</v>
      </c>
      <c r="D4" s="32">
        <v>450</v>
      </c>
      <c r="E4" s="31">
        <v>77</v>
      </c>
      <c r="F4" s="32" t="s">
        <v>108</v>
      </c>
    </row>
    <row r="5" spans="1:6" ht="23.25">
      <c r="A5" s="33">
        <v>0.97</v>
      </c>
      <c r="B5" s="32">
        <v>111</v>
      </c>
      <c r="C5" s="33">
        <v>0.67</v>
      </c>
      <c r="D5" s="32">
        <v>675</v>
      </c>
      <c r="E5" s="31">
        <v>1475</v>
      </c>
      <c r="F5" s="32" t="s">
        <v>109</v>
      </c>
    </row>
    <row r="6" spans="1:6" ht="23.25">
      <c r="A6" s="33">
        <v>0.72</v>
      </c>
      <c r="B6" s="32">
        <v>305</v>
      </c>
      <c r="C6" s="33">
        <v>0.67</v>
      </c>
      <c r="D6" s="32">
        <v>675</v>
      </c>
      <c r="E6" s="31">
        <v>753</v>
      </c>
      <c r="F6" s="32" t="s">
        <v>109</v>
      </c>
    </row>
  </sheetData>
  <mergeCells count="2">
    <mergeCell ref="A1:B1"/>
    <mergeCell ref="C1:D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cp:lastPrinted>2000-09-19T15:45:49Z</cp:lastPrinted>
  <dcterms:created xsi:type="dcterms:W3CDTF">1998-11-15T05:55:21Z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