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Assumptions" sheetId="1" r:id="rId1"/>
    <sheet name="Flex" sheetId="2" r:id="rId2"/>
    <sheet name="MCM-D" sheetId="3" r:id="rId3"/>
    <sheet name="Cost Model" sheetId="4" r:id="rId4"/>
    <sheet name="Flex Cost" sheetId="5" r:id="rId5"/>
    <sheet name="Comparison" sheetId="6" r:id="rId6"/>
  </sheets>
  <definedNames>
    <definedName name="BumpDet">'Cost Model'!$F$41</definedName>
    <definedName name="BumpIC">'Cost Model'!$F$40</definedName>
    <definedName name="Detwafer">'Cost Model'!$F$39</definedName>
    <definedName name="ICwafer">'Cost Model'!$F$38</definedName>
    <definedName name="Shipping_loss" localSheetId="2">'MCM-D'!$A$36</definedName>
    <definedName name="Shipping_loss">'Flex'!$A$44</definedName>
  </definedNames>
  <calcPr fullCalcOnLoad="1"/>
</workbook>
</file>

<file path=xl/sharedStrings.xml><?xml version="1.0" encoding="utf-8"?>
<sst xmlns="http://schemas.openxmlformats.org/spreadsheetml/2006/main" count="318" uniqueCount="167">
  <si>
    <t>Pixel Module Yield Model</t>
  </si>
  <si>
    <t>ICs</t>
  </si>
  <si>
    <t>Step</t>
  </si>
  <si>
    <t>Detectors</t>
  </si>
  <si>
    <t>Flex</t>
  </si>
  <si>
    <t>Fab</t>
  </si>
  <si>
    <t>Ship</t>
  </si>
  <si>
    <t>Probe</t>
  </si>
  <si>
    <t>Bump deposition</t>
  </si>
  <si>
    <t>Dice</t>
  </si>
  <si>
    <t>Sort</t>
  </si>
  <si>
    <t>Yield(%)</t>
  </si>
  <si>
    <t>Shipping yield</t>
  </si>
  <si>
    <t>Inspection(bump yield)</t>
  </si>
  <si>
    <t>Inspect/repair</t>
  </si>
  <si>
    <t>Mount components</t>
  </si>
  <si>
    <t>per die</t>
  </si>
  <si>
    <t>per tile</t>
  </si>
  <si>
    <t>per flex</t>
  </si>
  <si>
    <t>Module Assembly</t>
  </si>
  <si>
    <t>Flip chip/die</t>
  </si>
  <si>
    <t>Flip chip/module</t>
  </si>
  <si>
    <t>Inspect</t>
  </si>
  <si>
    <t>Attach flex</t>
  </si>
  <si>
    <t>Wire bond(with repair)</t>
  </si>
  <si>
    <t>Attach pwr/optics</t>
  </si>
  <si>
    <t>Test/burn in</t>
  </si>
  <si>
    <t>per module</t>
  </si>
  <si>
    <t>Detectors/wafer</t>
  </si>
  <si>
    <t>MCM-D</t>
  </si>
  <si>
    <t>Total modules started</t>
  </si>
  <si>
    <t>Total detector wafers</t>
  </si>
  <si>
    <t>Cost/Unit</t>
  </si>
  <si>
    <t>Total bump IC</t>
  </si>
  <si>
    <t>Total bump detector</t>
  </si>
  <si>
    <t>GRAND TOTALS</t>
  </si>
  <si>
    <t>kchf</t>
  </si>
  <si>
    <t>Assumptions for Yield Model</t>
  </si>
  <si>
    <t>These spreadsheets provide a framework for comparing the cost of a flex hybrid implementation of</t>
  </si>
  <si>
    <t>pixel modules and an MCM-D implementation of pixel modules.  You may modify</t>
  </si>
  <si>
    <t>the entries to investigate different models for the yield.</t>
  </si>
  <si>
    <t xml:space="preserve">It should be emphasized that the cost differential between MCM-D and flex depends </t>
  </si>
  <si>
    <t>on both the yield assumptions and the actual cost of the major components(ICs, detectors and</t>
  </si>
  <si>
    <t xml:space="preserve">flex or MCM-D). These costs are not very well known at this time. </t>
  </si>
  <si>
    <t xml:space="preserve">I have used CORE costs for the ICs and the detectors, with the critical assumption that the </t>
  </si>
  <si>
    <t>detector CORE cost corresponds to good tiles only from the detector vendors(100% yield). If</t>
  </si>
  <si>
    <t xml:space="preserve">you don't like this, you can change the spreadsheet entry. </t>
  </si>
  <si>
    <t>Please also note that the IC yield is critical to the absolute cost</t>
  </si>
  <si>
    <t>IC wafer cost assumption is cost/wafer = 6242-(#wafers-1200)x</t>
  </si>
  <si>
    <t>Detector wafer cost assumption is cost/wafer=1150-(#wafers-1200)x</t>
  </si>
  <si>
    <t>Bump IC wafer cost assumption is cost/wafer=690-(#wafers-1200)x</t>
  </si>
  <si>
    <t>Bump detector wafer assumption is cost/wafer=460-(#wafers-1200)x</t>
  </si>
  <si>
    <t>Here are some example results for different assumptions.</t>
  </si>
  <si>
    <t>IC Yield</t>
  </si>
  <si>
    <t>(%)</t>
  </si>
  <si>
    <t>Detector</t>
  </si>
  <si>
    <t>Tiles/Wafer</t>
  </si>
  <si>
    <t>Flex/MCM-D</t>
  </si>
  <si>
    <t>Module</t>
  </si>
  <si>
    <t>Cost of</t>
  </si>
  <si>
    <t>Flex-MCM-D</t>
  </si>
  <si>
    <t>3/3</t>
  </si>
  <si>
    <t>3/2</t>
  </si>
  <si>
    <t>min cost</t>
  </si>
  <si>
    <t>Last update: November 23, 1998</t>
  </si>
  <si>
    <t>Flex and MCM-D costs are fixed at the moment.</t>
  </si>
  <si>
    <t>Inspect(in fab)</t>
  </si>
  <si>
    <t>Probe bare module</t>
  </si>
  <si>
    <t>Thin and metallize</t>
  </si>
  <si>
    <t>Created by R. Boyd January 28, 1999</t>
  </si>
  <si>
    <t>Last modified Febuary 1, 1999</t>
  </si>
  <si>
    <t>time/unit (min.)</t>
  </si>
  <si>
    <t>cost/unit</t>
  </si>
  <si>
    <t>chf/hour</t>
  </si>
  <si>
    <t>total chf</t>
  </si>
  <si>
    <t>Notes</t>
  </si>
  <si>
    <t>Flex Singulation</t>
  </si>
  <si>
    <t>Use die to punch out flex</t>
  </si>
  <si>
    <t>Testing</t>
  </si>
  <si>
    <t>Outside vendor</t>
  </si>
  <si>
    <t>In house</t>
  </si>
  <si>
    <t>Attach to module</t>
  </si>
  <si>
    <t>Wire bond</t>
  </si>
  <si>
    <t>Based on $.01/bond * 23*16 (FE)+84(MCC&amp;Link)</t>
  </si>
  <si>
    <t>Attach power</t>
  </si>
  <si>
    <t>Attach link</t>
  </si>
  <si>
    <t xml:space="preserve">test/burn in </t>
  </si>
  <si>
    <t>setup, break down, monitor</t>
  </si>
  <si>
    <t>SMT components</t>
  </si>
  <si>
    <t>Assumes caps only, all resistors in IC's</t>
  </si>
  <si>
    <t>Subtotal</t>
  </si>
  <si>
    <t>Item</t>
  </si>
  <si>
    <t>Flex fabrication</t>
  </si>
  <si>
    <t>Based on CLEOIII</t>
  </si>
  <si>
    <t>Shipping (per 40 units)</t>
  </si>
  <si>
    <t>A GE lot is 40 units</t>
  </si>
  <si>
    <t>packing</t>
  </si>
  <si>
    <t>carrier</t>
  </si>
  <si>
    <t>subtotal</t>
  </si>
  <si>
    <t>Total/unit</t>
  </si>
  <si>
    <t>Adjust for shipping 40 units and number of times shipped</t>
  </si>
  <si>
    <t>GRAND TOTAL/UNIT</t>
  </si>
  <si>
    <t>per unit cost</t>
  </si>
  <si>
    <t>Probe/burn-in</t>
  </si>
  <si>
    <t>Last Update: February 14,1999</t>
  </si>
  <si>
    <t>per MCM-D tile</t>
  </si>
  <si>
    <t>Yield</t>
  </si>
  <si>
    <t>Unit Cost</t>
  </si>
  <si>
    <t>Cost Difference</t>
  </si>
  <si>
    <t>MCM-D-Flex(kchf)</t>
  </si>
  <si>
    <t>Flip chip modules</t>
  </si>
  <si>
    <t>3/wafer for both</t>
  </si>
  <si>
    <t>3/flex and 2/MCMD</t>
  </si>
  <si>
    <t xml:space="preserve">Thin </t>
  </si>
  <si>
    <t>Cut</t>
  </si>
  <si>
    <t>Wire bond MCC</t>
  </si>
  <si>
    <t xml:space="preserve">Cost Model </t>
  </si>
  <si>
    <t>Total flex needed</t>
  </si>
  <si>
    <t>Total pigtails needed</t>
  </si>
  <si>
    <t>Total optical pkgs needed</t>
  </si>
  <si>
    <t>Inspect(X-Ray)</t>
  </si>
  <si>
    <t>Pigtails</t>
  </si>
  <si>
    <t>per pigtail</t>
  </si>
  <si>
    <t>Optical Components</t>
  </si>
  <si>
    <t>IC fab</t>
  </si>
  <si>
    <t>IC Ship</t>
  </si>
  <si>
    <t>IC Probe</t>
  </si>
  <si>
    <t>IC thin</t>
  </si>
  <si>
    <t>IC dice</t>
  </si>
  <si>
    <t>Fiber fab</t>
  </si>
  <si>
    <t>Fiber ship</t>
  </si>
  <si>
    <t>Package fab</t>
  </si>
  <si>
    <t>Package ship</t>
  </si>
  <si>
    <t>Package inspect/test</t>
  </si>
  <si>
    <t>Fiber inspect/connect</t>
  </si>
  <si>
    <t>Total optical ICs needed</t>
  </si>
  <si>
    <t>Total optical wafers needed</t>
  </si>
  <si>
    <t>Cost(k$)</t>
  </si>
  <si>
    <t>Number of optical die</t>
  </si>
  <si>
    <t>No optical die/wafer</t>
  </si>
  <si>
    <t>Opt. IC yield</t>
  </si>
  <si>
    <t>Package yield</t>
  </si>
  <si>
    <t>Total opt fiber ribbon needed</t>
  </si>
  <si>
    <t>Fiber ribbon yield</t>
  </si>
  <si>
    <t>No of B-layer modules</t>
  </si>
  <si>
    <t>No of L1/2&amp;diskmodules</t>
  </si>
  <si>
    <t>No of L1/2&amp;disk FE die</t>
  </si>
  <si>
    <t>No B-layer FE die</t>
  </si>
  <si>
    <t>B-layer FE die/wafer</t>
  </si>
  <si>
    <t>L1/2&amp;disk FE die/ wafer</t>
  </si>
  <si>
    <t>Total L1/2&amp;disk modules started</t>
  </si>
  <si>
    <t>Total B-layer modules started</t>
  </si>
  <si>
    <t>Total B-layer FE die required</t>
  </si>
  <si>
    <t>Total L1/2&amp;disk FE die required</t>
  </si>
  <si>
    <t>Total L1/2&amp;disk FE wafers</t>
  </si>
  <si>
    <t>Total B-layer FE wafers required</t>
  </si>
  <si>
    <t xml:space="preserve"> No B-layer</t>
  </si>
  <si>
    <t xml:space="preserve"> Incudes spare staves/sectors</t>
  </si>
  <si>
    <t xml:space="preserve"> Includes spare staves</t>
  </si>
  <si>
    <t>Inspection</t>
  </si>
  <si>
    <t>Last Update: September 29, 1999</t>
  </si>
  <si>
    <t>Attach pigtail</t>
  </si>
  <si>
    <t>Last Update: September 29,1999</t>
  </si>
  <si>
    <t>5% spare modules included</t>
  </si>
  <si>
    <t>B-layer is not flex</t>
  </si>
  <si>
    <t>Temic optimum yield assumed</t>
  </si>
  <si>
    <t>20,42,56 staves, 2*[3x11+2*9]sectors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</si>
</sst>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0.00000"/>
    <numFmt numFmtId="169" formatCode="0.000000"/>
  </numFmts>
  <fonts count="6">
    <font>
      <sz val="10"/>
      <name val="Arial"/>
      <family val="0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44" fontId="2" fillId="0" borderId="3" xfId="17" applyFont="1" applyBorder="1" applyAlignment="1">
      <alignment/>
    </xf>
    <xf numFmtId="0" fontId="0" fillId="0" borderId="4" xfId="0" applyBorder="1" applyAlignment="1">
      <alignment horizontal="center"/>
    </xf>
    <xf numFmtId="9" fontId="0" fillId="0" borderId="3" xfId="19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0" borderId="3" xfId="19" applyBorder="1" applyAlignment="1">
      <alignment/>
    </xf>
    <xf numFmtId="9" fontId="0" fillId="0" borderId="3" xfId="19" applyFont="1" applyBorder="1" applyAlignment="1">
      <alignment/>
    </xf>
    <xf numFmtId="9" fontId="0" fillId="0" borderId="4" xfId="19" applyBorder="1" applyAlignment="1">
      <alignment horizontal="center"/>
    </xf>
    <xf numFmtId="9" fontId="0" fillId="0" borderId="6" xfId="19" applyBorder="1" applyAlignment="1">
      <alignment/>
    </xf>
    <xf numFmtId="9" fontId="0" fillId="0" borderId="0" xfId="19" applyAlignment="1">
      <alignment/>
    </xf>
    <xf numFmtId="165" fontId="0" fillId="0" borderId="3" xfId="19" applyNumberFormat="1" applyBorder="1" applyAlignment="1">
      <alignment/>
    </xf>
    <xf numFmtId="165" fontId="0" fillId="0" borderId="3" xfId="19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5" fontId="0" fillId="0" borderId="0" xfId="19" applyNumberFormat="1" applyAlignment="1">
      <alignment/>
    </xf>
    <xf numFmtId="165" fontId="0" fillId="0" borderId="0" xfId="19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9" fontId="4" fillId="0" borderId="0" xfId="19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3" xfId="19" applyNumberFormat="1" applyFont="1" applyBorder="1" applyAlignment="1">
      <alignment/>
    </xf>
    <xf numFmtId="165" fontId="0" fillId="0" borderId="0" xfId="19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9" fontId="5" fillId="0" borderId="3" xfId="19" applyFont="1" applyBorder="1" applyAlignment="1">
      <alignment/>
    </xf>
    <xf numFmtId="9" fontId="5" fillId="0" borderId="4" xfId="19" applyFont="1" applyBorder="1" applyAlignment="1">
      <alignment horizontal="center"/>
    </xf>
    <xf numFmtId="0" fontId="5" fillId="0" borderId="3" xfId="0" applyFont="1" applyBorder="1" applyAlignment="1">
      <alignment/>
    </xf>
    <xf numFmtId="9" fontId="5" fillId="0" borderId="0" xfId="19" applyFont="1" applyBorder="1" applyAlignment="1">
      <alignment horizontal="center"/>
    </xf>
    <xf numFmtId="9" fontId="5" fillId="0" borderId="6" xfId="19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/>
    </xf>
    <xf numFmtId="165" fontId="5" fillId="0" borderId="3" xfId="19" applyNumberFormat="1" applyFont="1" applyBorder="1" applyAlignment="1">
      <alignment/>
    </xf>
    <xf numFmtId="0" fontId="5" fillId="0" borderId="4" xfId="0" applyFont="1" applyBorder="1" applyAlignment="1">
      <alignment/>
    </xf>
    <xf numFmtId="165" fontId="5" fillId="0" borderId="6" xfId="19" applyNumberFormat="1" applyFont="1" applyBorder="1" applyAlignment="1">
      <alignment/>
    </xf>
    <xf numFmtId="0" fontId="5" fillId="0" borderId="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6</xdr:col>
      <xdr:colOff>0</xdr:colOff>
      <xdr:row>15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7124700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19050</xdr:rowOff>
    </xdr:from>
    <xdr:to>
      <xdr:col>6</xdr:col>
      <xdr:colOff>0</xdr:colOff>
      <xdr:row>24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0" y="2609850"/>
          <a:ext cx="7124700" cy="1285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3" sqref="A3"/>
    </sheetView>
  </sheetViews>
  <sheetFormatPr defaultColWidth="9.140625" defaultRowHeight="12.75"/>
  <cols>
    <col min="3" max="3" width="11.421875" style="0" bestFit="1" customWidth="1"/>
    <col min="6" max="6" width="11.421875" style="0" bestFit="1" customWidth="1"/>
  </cols>
  <sheetData>
    <row r="1" ht="12.75">
      <c r="A1" t="s">
        <v>37</v>
      </c>
    </row>
    <row r="2" ht="12.75">
      <c r="A2" t="s">
        <v>64</v>
      </c>
    </row>
    <row r="4" ht="12.75">
      <c r="A4" t="s">
        <v>38</v>
      </c>
    </row>
    <row r="5" ht="12.75">
      <c r="A5" t="s">
        <v>39</v>
      </c>
    </row>
    <row r="6" ht="12.75">
      <c r="A6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6" ht="12.75">
      <c r="A16" t="s">
        <v>52</v>
      </c>
    </row>
    <row r="17" spans="4:6" ht="12.75">
      <c r="D17" s="24" t="s">
        <v>4</v>
      </c>
      <c r="E17" s="24" t="s">
        <v>29</v>
      </c>
      <c r="F17" s="24" t="s">
        <v>59</v>
      </c>
    </row>
    <row r="18" spans="1:6" ht="12.75">
      <c r="A18" s="24" t="s">
        <v>53</v>
      </c>
      <c r="B18" s="24" t="s">
        <v>55</v>
      </c>
      <c r="C18" s="24" t="s">
        <v>56</v>
      </c>
      <c r="D18" s="24" t="s">
        <v>58</v>
      </c>
      <c r="E18" s="24" t="s">
        <v>58</v>
      </c>
      <c r="F18" s="24" t="s">
        <v>60</v>
      </c>
    </row>
    <row r="19" spans="1:6" ht="12.75">
      <c r="A19" s="1" t="s">
        <v>54</v>
      </c>
      <c r="B19" s="1" t="s">
        <v>11</v>
      </c>
      <c r="C19" s="1" t="s">
        <v>57</v>
      </c>
      <c r="D19" s="1" t="s">
        <v>11</v>
      </c>
      <c r="E19" s="1" t="s">
        <v>11</v>
      </c>
      <c r="F19" s="1" t="s">
        <v>36</v>
      </c>
    </row>
    <row r="20" spans="1:6" ht="12.75">
      <c r="A20" s="24">
        <v>30</v>
      </c>
      <c r="B20" s="24">
        <v>100</v>
      </c>
      <c r="C20" s="25" t="s">
        <v>61</v>
      </c>
      <c r="D20" s="24">
        <v>71</v>
      </c>
      <c r="E20" s="24">
        <v>75</v>
      </c>
      <c r="F20" s="24">
        <v>1995</v>
      </c>
    </row>
    <row r="21" spans="1:6" ht="12.75">
      <c r="A21" s="24">
        <v>30</v>
      </c>
      <c r="B21" s="24">
        <v>100</v>
      </c>
      <c r="C21" s="25" t="s">
        <v>62</v>
      </c>
      <c r="D21" s="24">
        <v>71</v>
      </c>
      <c r="E21" s="24">
        <v>75</v>
      </c>
      <c r="F21" s="24">
        <v>2918</v>
      </c>
    </row>
    <row r="22" spans="1:6" ht="12.75">
      <c r="A22" s="24">
        <v>30</v>
      </c>
      <c r="B22" s="24">
        <v>100</v>
      </c>
      <c r="C22" s="25" t="s">
        <v>61</v>
      </c>
      <c r="D22" s="24">
        <v>61</v>
      </c>
      <c r="E22" s="24">
        <v>75</v>
      </c>
      <c r="F22" s="24">
        <v>0</v>
      </c>
    </row>
    <row r="23" spans="1:6" ht="12.75">
      <c r="A23" s="24">
        <v>60</v>
      </c>
      <c r="B23" s="24">
        <v>100</v>
      </c>
      <c r="C23" s="25" t="s">
        <v>61</v>
      </c>
      <c r="D23" s="24">
        <v>71</v>
      </c>
      <c r="E23" s="24">
        <v>75</v>
      </c>
      <c r="F23" s="24">
        <v>1891</v>
      </c>
    </row>
    <row r="24" spans="1:6" ht="12.75">
      <c r="A24" s="24">
        <v>60</v>
      </c>
      <c r="B24" s="24">
        <v>100</v>
      </c>
      <c r="C24" s="25" t="s">
        <v>62</v>
      </c>
      <c r="D24" s="24">
        <v>71</v>
      </c>
      <c r="E24" s="24">
        <v>75</v>
      </c>
      <c r="F24" s="24">
        <v>2813</v>
      </c>
    </row>
    <row r="25" spans="1:6" ht="12.75">
      <c r="A25" s="24">
        <v>60</v>
      </c>
      <c r="B25" s="24">
        <v>100</v>
      </c>
      <c r="C25" s="25" t="s">
        <v>61</v>
      </c>
      <c r="D25" s="24">
        <v>54</v>
      </c>
      <c r="E25" s="24">
        <v>75</v>
      </c>
      <c r="F25" s="24"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H8">
      <selection activeCell="H33" sqref="H33"/>
    </sheetView>
  </sheetViews>
  <sheetFormatPr defaultColWidth="9.140625" defaultRowHeight="12.75"/>
  <cols>
    <col min="1" max="1" width="9.28125" style="0" bestFit="1" customWidth="1"/>
    <col min="2" max="2" width="19.57421875" style="0" bestFit="1" customWidth="1"/>
    <col min="3" max="3" width="8.00390625" style="0" bestFit="1" customWidth="1"/>
    <col min="4" max="4" width="19.57421875" style="0" bestFit="1" customWidth="1"/>
    <col min="6" max="6" width="16.8515625" style="0" bestFit="1" customWidth="1"/>
    <col min="7" max="7" width="2.7109375" style="0" customWidth="1"/>
    <col min="8" max="8" width="27.7109375" style="0" bestFit="1" customWidth="1"/>
    <col min="9" max="9" width="12.57421875" style="0" bestFit="1" customWidth="1"/>
  </cols>
  <sheetData>
    <row r="1" ht="12.75">
      <c r="A1" t="s">
        <v>0</v>
      </c>
    </row>
    <row r="2" ht="12.75">
      <c r="A2" t="s">
        <v>160</v>
      </c>
    </row>
    <row r="3" ht="13.5" thickBot="1"/>
    <row r="4" spans="1:9" ht="12.75">
      <c r="A4" s="62" t="s">
        <v>1</v>
      </c>
      <c r="B4" s="63"/>
      <c r="C4" s="62" t="s">
        <v>3</v>
      </c>
      <c r="D4" s="63"/>
      <c r="E4" s="62" t="s">
        <v>4</v>
      </c>
      <c r="F4" s="63"/>
      <c r="H4" s="42" t="s">
        <v>145</v>
      </c>
      <c r="I4" s="43">
        <f>'Cost Model'!B4</f>
        <v>1980.3000000000002</v>
      </c>
    </row>
    <row r="5" spans="1:9" ht="15">
      <c r="A5" s="5" t="s">
        <v>11</v>
      </c>
      <c r="B5" s="6" t="s">
        <v>2</v>
      </c>
      <c r="C5" s="10" t="s">
        <v>11</v>
      </c>
      <c r="D5" s="37" t="s">
        <v>2</v>
      </c>
      <c r="E5" s="10" t="s">
        <v>11</v>
      </c>
      <c r="F5" s="6" t="s">
        <v>2</v>
      </c>
      <c r="H5" s="44" t="s">
        <v>144</v>
      </c>
      <c r="I5" s="45">
        <f>'Cost Model'!B5</f>
        <v>273</v>
      </c>
    </row>
    <row r="6" spans="1:10" ht="12.75">
      <c r="A6" s="23">
        <v>0.385</v>
      </c>
      <c r="B6" s="8" t="s">
        <v>5</v>
      </c>
      <c r="C6" s="23">
        <v>1</v>
      </c>
      <c r="D6" s="36" t="s">
        <v>5</v>
      </c>
      <c r="E6" s="23">
        <v>1</v>
      </c>
      <c r="F6" s="8" t="s">
        <v>5</v>
      </c>
      <c r="H6" s="44" t="s">
        <v>146</v>
      </c>
      <c r="I6" s="45">
        <f>'Cost Model'!B6</f>
        <v>31684.800000000003</v>
      </c>
      <c r="J6" s="48"/>
    </row>
    <row r="7" spans="1:9" ht="12.75">
      <c r="A7" s="23">
        <f>Shipping_loss</f>
        <v>0.995</v>
      </c>
      <c r="B7" s="8" t="s">
        <v>6</v>
      </c>
      <c r="C7" s="23">
        <f>Shipping_loss</f>
        <v>0.995</v>
      </c>
      <c r="D7" s="36" t="s">
        <v>6</v>
      </c>
      <c r="E7" s="23">
        <v>1</v>
      </c>
      <c r="F7" s="8" t="s">
        <v>66</v>
      </c>
      <c r="H7" s="44" t="s">
        <v>149</v>
      </c>
      <c r="I7" s="45">
        <f>'Cost Model'!B7</f>
        <v>130</v>
      </c>
    </row>
    <row r="8" spans="1:9" ht="12.75">
      <c r="A8" s="23">
        <v>0.97</v>
      </c>
      <c r="B8" s="8" t="s">
        <v>7</v>
      </c>
      <c r="C8" s="23">
        <v>0.95</v>
      </c>
      <c r="D8" s="36" t="s">
        <v>7</v>
      </c>
      <c r="E8" s="23">
        <f>Shipping_loss</f>
        <v>0.995</v>
      </c>
      <c r="F8" s="8" t="s">
        <v>6</v>
      </c>
      <c r="H8" s="44" t="s">
        <v>147</v>
      </c>
      <c r="I8" s="45">
        <f>'Cost Model'!B8</f>
        <v>4368</v>
      </c>
    </row>
    <row r="9" spans="1:9" ht="12.75">
      <c r="A9" s="23">
        <f>Shipping_loss</f>
        <v>0.995</v>
      </c>
      <c r="B9" s="8" t="s">
        <v>6</v>
      </c>
      <c r="C9" s="23">
        <f>Shipping_loss</f>
        <v>0.995</v>
      </c>
      <c r="D9" s="36" t="s">
        <v>6</v>
      </c>
      <c r="E9" s="23">
        <v>0.99</v>
      </c>
      <c r="F9" s="8" t="s">
        <v>114</v>
      </c>
      <c r="H9" s="44" t="s">
        <v>148</v>
      </c>
      <c r="I9" s="45">
        <f>'Cost Model'!B9</f>
        <v>130</v>
      </c>
    </row>
    <row r="10" spans="1:9" ht="12.75">
      <c r="A10" s="23">
        <v>0.97</v>
      </c>
      <c r="B10" s="8" t="s">
        <v>8</v>
      </c>
      <c r="C10" s="23">
        <v>0.97</v>
      </c>
      <c r="D10" s="36" t="s">
        <v>8</v>
      </c>
      <c r="E10" s="23">
        <f>Shipping_loss</f>
        <v>0.995</v>
      </c>
      <c r="F10" s="8" t="s">
        <v>6</v>
      </c>
      <c r="H10" s="44" t="s">
        <v>28</v>
      </c>
      <c r="I10" s="45">
        <f>'Cost Model'!B10</f>
        <v>3</v>
      </c>
    </row>
    <row r="11" spans="1:9" ht="12.75">
      <c r="A11" s="23">
        <f>Shipping_loss</f>
        <v>0.995</v>
      </c>
      <c r="B11" s="8" t="s">
        <v>6</v>
      </c>
      <c r="C11" s="23">
        <f>Shipping_loss</f>
        <v>0.995</v>
      </c>
      <c r="D11" t="s">
        <v>6</v>
      </c>
      <c r="E11" s="23">
        <v>0.95</v>
      </c>
      <c r="F11" s="8" t="s">
        <v>15</v>
      </c>
      <c r="H11" s="44" t="s">
        <v>138</v>
      </c>
      <c r="I11" s="45">
        <f>'Cost Model'!B11</f>
        <v>2253.3</v>
      </c>
    </row>
    <row r="12" spans="1:9" ht="12.75">
      <c r="A12" s="23">
        <v>0.97</v>
      </c>
      <c r="B12" s="8" t="s">
        <v>159</v>
      </c>
      <c r="C12" s="23">
        <v>0.97</v>
      </c>
      <c r="D12" s="36" t="s">
        <v>159</v>
      </c>
      <c r="E12" s="23">
        <f>Shipping_loss</f>
        <v>0.995</v>
      </c>
      <c r="F12" s="8" t="s">
        <v>6</v>
      </c>
      <c r="H12" s="44" t="s">
        <v>139</v>
      </c>
      <c r="I12" s="45">
        <f>'Cost Model'!B12</f>
        <v>1000</v>
      </c>
    </row>
    <row r="13" spans="1:9" ht="12.75">
      <c r="A13" s="23">
        <f>Shipping_loss</f>
        <v>0.995</v>
      </c>
      <c r="B13" s="8" t="s">
        <v>6</v>
      </c>
      <c r="C13" s="23">
        <f>Shipping_loss</f>
        <v>0.995</v>
      </c>
      <c r="D13" s="36" t="s">
        <v>6</v>
      </c>
      <c r="E13" s="23">
        <v>0.97</v>
      </c>
      <c r="F13" s="8" t="s">
        <v>115</v>
      </c>
      <c r="H13" s="44"/>
      <c r="I13" s="45"/>
    </row>
    <row r="14" spans="1:9" ht="12.75">
      <c r="A14" s="23">
        <v>0.98</v>
      </c>
      <c r="B14" s="8" t="s">
        <v>113</v>
      </c>
      <c r="C14" s="23">
        <v>0.97</v>
      </c>
      <c r="D14" s="36" t="s">
        <v>9</v>
      </c>
      <c r="E14" s="23">
        <f>Shipping_loss</f>
        <v>0.995</v>
      </c>
      <c r="F14" s="8" t="s">
        <v>6</v>
      </c>
      <c r="H14" s="44"/>
      <c r="I14" s="45"/>
    </row>
    <row r="15" spans="1:9" ht="12.75">
      <c r="A15" s="23">
        <f>Shipping_loss</f>
        <v>0.995</v>
      </c>
      <c r="B15" s="8" t="s">
        <v>6</v>
      </c>
      <c r="C15" s="23">
        <v>0.99</v>
      </c>
      <c r="D15" s="36" t="s">
        <v>10</v>
      </c>
      <c r="E15" s="23">
        <v>0.97</v>
      </c>
      <c r="F15" s="8" t="s">
        <v>103</v>
      </c>
      <c r="H15" s="44" t="s">
        <v>30</v>
      </c>
      <c r="I15" s="45">
        <f>'Cost Model'!B15</f>
        <v>2992.5412397494156</v>
      </c>
    </row>
    <row r="16" spans="1:9" ht="12.75">
      <c r="A16" s="23">
        <v>0.98</v>
      </c>
      <c r="B16" s="8" t="s">
        <v>9</v>
      </c>
      <c r="C16" s="23">
        <f>Shipping_loss</f>
        <v>0.995</v>
      </c>
      <c r="D16" s="36" t="s">
        <v>6</v>
      </c>
      <c r="E16" s="23">
        <f>Shipping_loss</f>
        <v>0.995</v>
      </c>
      <c r="F16" s="8" t="s">
        <v>6</v>
      </c>
      <c r="H16" s="44" t="s">
        <v>150</v>
      </c>
      <c r="I16" s="45">
        <f>'Cost Model'!B16</f>
        <v>2629.977995418172</v>
      </c>
    </row>
    <row r="17" spans="1:9" ht="12.75">
      <c r="A17" s="23">
        <v>0.98</v>
      </c>
      <c r="B17" s="8" t="s">
        <v>10</v>
      </c>
      <c r="C17" s="22">
        <v>0.99</v>
      </c>
      <c r="D17" s="36" t="s">
        <v>22</v>
      </c>
      <c r="E17" s="11"/>
      <c r="F17" s="8"/>
      <c r="H17" s="44" t="s">
        <v>151</v>
      </c>
      <c r="I17" s="45">
        <f>'Cost Model'!B17</f>
        <v>362.56324433124325</v>
      </c>
    </row>
    <row r="18" spans="1:9" ht="12.75">
      <c r="A18" s="23">
        <f>Shipping_loss</f>
        <v>0.995</v>
      </c>
      <c r="B18" s="8" t="s">
        <v>6</v>
      </c>
      <c r="C18" s="7"/>
      <c r="D18" s="36"/>
      <c r="E18" s="7"/>
      <c r="F18" s="8"/>
      <c r="H18" s="44" t="s">
        <v>153</v>
      </c>
      <c r="I18" s="45">
        <f>'Cost Model'!B18</f>
        <v>132447.65059770763</v>
      </c>
    </row>
    <row r="19" spans="1:9" ht="12.75">
      <c r="A19" s="22">
        <v>0.99</v>
      </c>
      <c r="B19" s="8" t="s">
        <v>22</v>
      </c>
      <c r="C19" s="11"/>
      <c r="D19" s="36"/>
      <c r="E19" s="11"/>
      <c r="F19" s="8"/>
      <c r="H19" s="44" t="s">
        <v>154</v>
      </c>
      <c r="I19" s="45">
        <f>'Cost Model'!B19</f>
        <v>1018.8280815208279</v>
      </c>
    </row>
    <row r="20" spans="1:9" ht="12.75">
      <c r="A20" s="49" t="s">
        <v>11</v>
      </c>
      <c r="B20" s="50">
        <f>PRODUCT(A6:A19)</f>
        <v>0.3177077716123645</v>
      </c>
      <c r="C20" s="51"/>
      <c r="D20" s="52">
        <f>PRODUCT(C6:C17)</f>
        <v>0.8287520219996984</v>
      </c>
      <c r="E20" s="51"/>
      <c r="F20" s="50">
        <f>PRODUCT(E6:E16)</f>
        <v>0.863013664479536</v>
      </c>
      <c r="H20" s="44" t="s">
        <v>152</v>
      </c>
      <c r="I20" s="45">
        <f>'Cost Model'!B20</f>
        <v>18258.95501346977</v>
      </c>
    </row>
    <row r="21" spans="1:9" ht="12.75">
      <c r="A21" s="53"/>
      <c r="B21" s="54" t="s">
        <v>16</v>
      </c>
      <c r="C21" s="55"/>
      <c r="D21" s="56" t="s">
        <v>17</v>
      </c>
      <c r="E21" s="55"/>
      <c r="F21" s="54" t="s">
        <v>18</v>
      </c>
      <c r="H21" s="44" t="s">
        <v>155</v>
      </c>
      <c r="I21" s="45">
        <f>'Cost Model'!B21</f>
        <v>140.45350010361364</v>
      </c>
    </row>
    <row r="22" spans="1:9" ht="12.75">
      <c r="A22" s="2"/>
      <c r="H22" s="44" t="s">
        <v>135</v>
      </c>
      <c r="I22" s="45">
        <f>'Cost Model'!B22</f>
        <v>2836.5050130668537</v>
      </c>
    </row>
    <row r="23" spans="1:9" ht="12.75">
      <c r="A23" s="13" t="s">
        <v>11</v>
      </c>
      <c r="B23" s="4" t="s">
        <v>123</v>
      </c>
      <c r="C23" s="40" t="s">
        <v>11</v>
      </c>
      <c r="D23" s="40" t="s">
        <v>19</v>
      </c>
      <c r="E23" s="13" t="s">
        <v>11</v>
      </c>
      <c r="F23" s="4" t="s">
        <v>121</v>
      </c>
      <c r="H23" s="44" t="s">
        <v>136</v>
      </c>
      <c r="I23" s="45">
        <f>'Cost Model'!B23</f>
        <v>2.8365050130668537</v>
      </c>
    </row>
    <row r="24" spans="1:9" ht="12.75">
      <c r="A24" s="38">
        <v>0.87</v>
      </c>
      <c r="B24" s="8" t="s">
        <v>124</v>
      </c>
      <c r="C24" s="39">
        <v>0.995</v>
      </c>
      <c r="D24" s="36" t="s">
        <v>20</v>
      </c>
      <c r="E24" s="23">
        <v>1</v>
      </c>
      <c r="F24" s="8" t="s">
        <v>5</v>
      </c>
      <c r="H24" s="44" t="s">
        <v>31</v>
      </c>
      <c r="I24" s="45">
        <f>'Cost Model'!B24</f>
        <v>1203.6335599836418</v>
      </c>
    </row>
    <row r="25" spans="1:9" ht="12.75">
      <c r="A25" s="23">
        <f>Shipping_loss</f>
        <v>0.995</v>
      </c>
      <c r="B25" s="8" t="s">
        <v>125</v>
      </c>
      <c r="C25" s="39">
        <f>C24^16</f>
        <v>0.9229311239742364</v>
      </c>
      <c r="D25" s="36" t="s">
        <v>21</v>
      </c>
      <c r="E25" s="23">
        <v>1</v>
      </c>
      <c r="F25" s="8" t="s">
        <v>66</v>
      </c>
      <c r="H25" s="44" t="s">
        <v>117</v>
      </c>
      <c r="I25" s="45">
        <f>'Cost Model'!B25</f>
        <v>3047.434940678781</v>
      </c>
    </row>
    <row r="26" spans="1:9" ht="12.75">
      <c r="A26" s="23">
        <v>0.97</v>
      </c>
      <c r="B26" s="8" t="s">
        <v>126</v>
      </c>
      <c r="C26" s="39">
        <f>Shipping_loss</f>
        <v>0.995</v>
      </c>
      <c r="D26" s="36" t="s">
        <v>120</v>
      </c>
      <c r="E26" s="23">
        <f>Shipping_loss</f>
        <v>0.995</v>
      </c>
      <c r="F26" s="8" t="s">
        <v>6</v>
      </c>
      <c r="H26" s="44" t="s">
        <v>119</v>
      </c>
      <c r="I26" s="45">
        <f>'Cost Model'!B26</f>
        <v>2651.991033448575</v>
      </c>
    </row>
    <row r="27" spans="1:9" ht="12.75">
      <c r="A27" s="23">
        <f>Shipping_loss</f>
        <v>0.995</v>
      </c>
      <c r="B27" s="8" t="s">
        <v>125</v>
      </c>
      <c r="C27" s="39">
        <f>Shipping_loss</f>
        <v>0.995</v>
      </c>
      <c r="D27" s="36" t="s">
        <v>6</v>
      </c>
      <c r="E27" s="23">
        <v>0.99</v>
      </c>
      <c r="F27" s="8" t="s">
        <v>114</v>
      </c>
      <c r="H27" s="44" t="s">
        <v>142</v>
      </c>
      <c r="I27" s="45">
        <f>'Cost Model'!B27</f>
        <v>2625.537422889925</v>
      </c>
    </row>
    <row r="28" spans="1:9" ht="12.75">
      <c r="A28" s="23">
        <f>A14</f>
        <v>0.98</v>
      </c>
      <c r="B28" s="8" t="s">
        <v>127</v>
      </c>
      <c r="C28" s="39">
        <v>0.97</v>
      </c>
      <c r="D28" s="36" t="s">
        <v>67</v>
      </c>
      <c r="E28" s="23">
        <f>Shipping_loss</f>
        <v>0.995</v>
      </c>
      <c r="F28" s="8" t="s">
        <v>6</v>
      </c>
      <c r="H28" s="44" t="s">
        <v>118</v>
      </c>
      <c r="I28" s="45">
        <f>'Cost Model'!B28</f>
        <v>2494.2605517454285</v>
      </c>
    </row>
    <row r="29" spans="1:9" ht="12.75">
      <c r="A29" s="23">
        <f>Shipping_loss</f>
        <v>0.995</v>
      </c>
      <c r="B29" s="8" t="s">
        <v>125</v>
      </c>
      <c r="C29" s="39">
        <f>Shipping_loss</f>
        <v>0.995</v>
      </c>
      <c r="D29" s="36" t="s">
        <v>6</v>
      </c>
      <c r="E29" s="23">
        <v>0.98</v>
      </c>
      <c r="F29" s="8" t="s">
        <v>15</v>
      </c>
      <c r="H29" s="44" t="s">
        <v>110</v>
      </c>
      <c r="I29" s="45">
        <f>'Cost Model'!B29</f>
        <v>2992.5412397494156</v>
      </c>
    </row>
    <row r="30" spans="1:9" ht="12.75">
      <c r="A30" s="23">
        <f>A16</f>
        <v>0.98</v>
      </c>
      <c r="B30" s="8" t="s">
        <v>128</v>
      </c>
      <c r="C30" s="39">
        <v>0.98</v>
      </c>
      <c r="D30" s="36" t="s">
        <v>23</v>
      </c>
      <c r="E30" s="23">
        <f>Shipping_loss</f>
        <v>0.995</v>
      </c>
      <c r="F30" s="8" t="s">
        <v>6</v>
      </c>
      <c r="H30" s="44" t="s">
        <v>33</v>
      </c>
      <c r="I30" s="45">
        <f>'Cost Model'!B30</f>
        <v>1159.2815816244415</v>
      </c>
    </row>
    <row r="31" spans="1:9" ht="13.5" thickBot="1">
      <c r="A31" s="23">
        <f>Shipping_loss</f>
        <v>0.995</v>
      </c>
      <c r="B31" s="8" t="s">
        <v>125</v>
      </c>
      <c r="C31" s="39">
        <v>0.95</v>
      </c>
      <c r="D31" s="36" t="s">
        <v>24</v>
      </c>
      <c r="E31" s="23">
        <v>0.95</v>
      </c>
      <c r="F31" s="8" t="s">
        <v>26</v>
      </c>
      <c r="H31" s="46" t="s">
        <v>34</v>
      </c>
      <c r="I31" s="47">
        <f>'Cost Model'!B31</f>
        <v>1203.6335599836418</v>
      </c>
    </row>
    <row r="32" spans="1:6" ht="12.75">
      <c r="A32" s="58">
        <f>PRODUCT(A24:A31)</f>
        <v>0.794393096299771</v>
      </c>
      <c r="B32" s="59" t="s">
        <v>140</v>
      </c>
      <c r="C32" s="39">
        <v>0.98</v>
      </c>
      <c r="D32" s="36" t="s">
        <v>161</v>
      </c>
      <c r="E32" s="23">
        <f>Shipping_loss</f>
        <v>0.995</v>
      </c>
      <c r="F32" s="8" t="s">
        <v>6</v>
      </c>
    </row>
    <row r="33" spans="1:8" ht="12.75">
      <c r="A33" s="23">
        <v>1</v>
      </c>
      <c r="B33" s="8" t="s">
        <v>129</v>
      </c>
      <c r="C33" s="39">
        <f>Shipping_loss</f>
        <v>0.995</v>
      </c>
      <c r="D33" s="36" t="s">
        <v>6</v>
      </c>
      <c r="E33" s="11"/>
      <c r="F33" s="8"/>
      <c r="H33" t="s">
        <v>166</v>
      </c>
    </row>
    <row r="34" spans="1:8" ht="12.75">
      <c r="A34" s="23">
        <v>1</v>
      </c>
      <c r="B34" s="8" t="s">
        <v>130</v>
      </c>
      <c r="C34" s="39">
        <v>0.95</v>
      </c>
      <c r="D34" s="36" t="s">
        <v>26</v>
      </c>
      <c r="E34" s="11"/>
      <c r="F34" s="8"/>
      <c r="H34" t="s">
        <v>163</v>
      </c>
    </row>
    <row r="35" spans="1:8" ht="12.75">
      <c r="A35" s="23">
        <v>0.95</v>
      </c>
      <c r="B35" s="8" t="s">
        <v>134</v>
      </c>
      <c r="C35" s="39">
        <f>Shipping_loss</f>
        <v>0.995</v>
      </c>
      <c r="D35" s="36" t="s">
        <v>6</v>
      </c>
      <c r="E35" s="11"/>
      <c r="F35" s="8"/>
      <c r="H35" t="s">
        <v>164</v>
      </c>
    </row>
    <row r="36" spans="1:8" ht="12.75">
      <c r="A36" s="58">
        <f>PRODUCT(A33:A35)</f>
        <v>0.95</v>
      </c>
      <c r="B36" s="59" t="s">
        <v>143</v>
      </c>
      <c r="C36" s="39"/>
      <c r="D36" s="36"/>
      <c r="E36" s="11"/>
      <c r="F36" s="8"/>
      <c r="H36" s="36" t="s">
        <v>165</v>
      </c>
    </row>
    <row r="37" spans="1:6" ht="12.75">
      <c r="A37" s="23">
        <v>1</v>
      </c>
      <c r="B37" s="8" t="s">
        <v>131</v>
      </c>
      <c r="E37" s="11"/>
      <c r="F37" s="8"/>
    </row>
    <row r="38" spans="1:6" ht="12.75">
      <c r="A38" s="23">
        <f>Shipping_loss</f>
        <v>0.995</v>
      </c>
      <c r="B38" s="8" t="s">
        <v>132</v>
      </c>
      <c r="C38" s="39"/>
      <c r="D38" s="36"/>
      <c r="E38" s="11"/>
      <c r="F38" s="8"/>
    </row>
    <row r="39" spans="1:6" ht="12.75">
      <c r="A39" s="23">
        <v>0.95</v>
      </c>
      <c r="B39" s="8" t="s">
        <v>133</v>
      </c>
      <c r="C39" s="39"/>
      <c r="D39" s="36"/>
      <c r="E39" s="11"/>
      <c r="F39" s="8"/>
    </row>
    <row r="40" spans="1:6" ht="12.75">
      <c r="A40" s="23">
        <f>Shipping_loss</f>
        <v>0.995</v>
      </c>
      <c r="B40" s="8" t="s">
        <v>132</v>
      </c>
      <c r="C40" s="36"/>
      <c r="D40" s="52">
        <f>PRODUCT(C24:C35)</f>
        <v>0.7529720794052226</v>
      </c>
      <c r="E40" s="51"/>
      <c r="F40" s="50">
        <f>PRODUCT(E24:E35)</f>
        <v>0.9033939932310562</v>
      </c>
    </row>
    <row r="41" spans="1:6" ht="12.75">
      <c r="A41" s="60">
        <f>PRODUCT(A37:A40)</f>
        <v>0.9405237499999999</v>
      </c>
      <c r="B41" s="61" t="s">
        <v>141</v>
      </c>
      <c r="C41" s="41"/>
      <c r="D41" s="56" t="s">
        <v>27</v>
      </c>
      <c r="E41" s="57"/>
      <c r="F41" s="54" t="s">
        <v>122</v>
      </c>
    </row>
    <row r="42" spans="1:6" ht="12.75">
      <c r="A42" s="36"/>
      <c r="B42" s="36"/>
      <c r="C42" s="36"/>
      <c r="D42" s="37"/>
      <c r="E42" s="36"/>
      <c r="F42" s="37"/>
    </row>
    <row r="43" spans="1:6" ht="12.75">
      <c r="A43" s="36"/>
      <c r="B43" s="36"/>
      <c r="C43" s="36"/>
      <c r="D43" s="37"/>
      <c r="E43" s="36"/>
      <c r="F43" s="37"/>
    </row>
    <row r="44" spans="1:2" ht="12.75">
      <c r="A44" s="31">
        <v>0.995</v>
      </c>
      <c r="B44" t="s">
        <v>12</v>
      </c>
    </row>
  </sheetData>
  <mergeCells count="3">
    <mergeCell ref="E4:F4"/>
    <mergeCell ref="C4:D4"/>
    <mergeCell ref="A4:B4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5">
      <selection activeCell="E7" sqref="E7"/>
    </sheetView>
  </sheetViews>
  <sheetFormatPr defaultColWidth="9.140625" defaultRowHeight="12.75"/>
  <cols>
    <col min="2" max="2" width="19.57421875" style="0" bestFit="1" customWidth="1"/>
    <col min="3" max="3" width="8.00390625" style="0" bestFit="1" customWidth="1"/>
    <col min="4" max="4" width="19.57421875" style="0" bestFit="1" customWidth="1"/>
    <col min="6" max="6" width="16.8515625" style="0" bestFit="1" customWidth="1"/>
  </cols>
  <sheetData>
    <row r="1" ht="12.75">
      <c r="A1" t="s">
        <v>0</v>
      </c>
    </row>
    <row r="2" ht="12.75">
      <c r="A2" t="s">
        <v>104</v>
      </c>
    </row>
    <row r="4" spans="1:6" ht="12.75">
      <c r="A4" s="3"/>
      <c r="B4" s="4" t="s">
        <v>1</v>
      </c>
      <c r="C4" s="3"/>
      <c r="D4" s="4" t="s">
        <v>3</v>
      </c>
      <c r="E4" s="3"/>
      <c r="F4" s="4" t="s">
        <v>29</v>
      </c>
    </row>
    <row r="5" spans="1:6" ht="15">
      <c r="A5" s="5" t="s">
        <v>11</v>
      </c>
      <c r="B5" s="6" t="s">
        <v>2</v>
      </c>
      <c r="C5" s="10" t="s">
        <v>11</v>
      </c>
      <c r="D5" s="6" t="s">
        <v>2</v>
      </c>
      <c r="E5" s="10" t="s">
        <v>11</v>
      </c>
      <c r="F5" s="6" t="s">
        <v>2</v>
      </c>
    </row>
    <row r="6" spans="1:6" ht="12.75">
      <c r="A6" s="22">
        <v>0.3</v>
      </c>
      <c r="B6" s="8" t="s">
        <v>5</v>
      </c>
      <c r="C6" s="22">
        <v>1</v>
      </c>
      <c r="D6" s="8" t="s">
        <v>5</v>
      </c>
      <c r="E6" s="22">
        <v>0.67</v>
      </c>
      <c r="F6" s="8" t="s">
        <v>5</v>
      </c>
    </row>
    <row r="7" spans="1:6" ht="12.75">
      <c r="A7" s="22">
        <f>Shipping_loss</f>
        <v>0.995</v>
      </c>
      <c r="B7" s="8" t="s">
        <v>6</v>
      </c>
      <c r="C7" s="22">
        <f>Shipping_loss</f>
        <v>0.995</v>
      </c>
      <c r="D7" s="8" t="s">
        <v>6</v>
      </c>
      <c r="E7" s="22">
        <v>0.95</v>
      </c>
      <c r="F7" s="8" t="s">
        <v>14</v>
      </c>
    </row>
    <row r="8" spans="1:6" ht="12.75">
      <c r="A8" s="22">
        <v>0.97</v>
      </c>
      <c r="B8" s="8" t="s">
        <v>7</v>
      </c>
      <c r="C8" s="22">
        <v>0.9</v>
      </c>
      <c r="D8" s="8" t="s">
        <v>7</v>
      </c>
      <c r="E8" s="22">
        <f>Shipping_loss</f>
        <v>0.995</v>
      </c>
      <c r="F8" s="8" t="s">
        <v>6</v>
      </c>
    </row>
    <row r="9" spans="1:6" ht="12.75">
      <c r="A9" s="22">
        <f>Shipping_loss</f>
        <v>0.995</v>
      </c>
      <c r="B9" s="8" t="s">
        <v>6</v>
      </c>
      <c r="C9" s="22">
        <f>Shipping_loss</f>
        <v>0.995</v>
      </c>
      <c r="D9" s="8" t="s">
        <v>6</v>
      </c>
      <c r="E9" s="26">
        <v>0.95</v>
      </c>
      <c r="F9" s="8" t="s">
        <v>7</v>
      </c>
    </row>
    <row r="10" spans="1:6" ht="12.75">
      <c r="A10" s="22">
        <v>0.97</v>
      </c>
      <c r="B10" s="8" t="s">
        <v>8</v>
      </c>
      <c r="C10" s="22">
        <v>0.97</v>
      </c>
      <c r="D10" s="8" t="s">
        <v>8</v>
      </c>
      <c r="E10" s="22">
        <f>Shipping_loss</f>
        <v>0.995</v>
      </c>
      <c r="F10" s="8" t="s">
        <v>6</v>
      </c>
    </row>
    <row r="11" spans="1:6" ht="12.75">
      <c r="A11" s="22">
        <f>Shipping_loss</f>
        <v>0.995</v>
      </c>
      <c r="B11" s="8" t="s">
        <v>6</v>
      </c>
      <c r="C11" s="23">
        <f>Shipping_loss</f>
        <v>0.995</v>
      </c>
      <c r="D11" t="s">
        <v>6</v>
      </c>
      <c r="E11" s="22"/>
      <c r="F11" s="8"/>
    </row>
    <row r="12" spans="1:6" ht="12.75">
      <c r="A12" s="22">
        <v>0.995</v>
      </c>
      <c r="B12" s="8" t="s">
        <v>13</v>
      </c>
      <c r="C12" s="23">
        <f>A12^16</f>
        <v>0.9229311239742364</v>
      </c>
      <c r="D12" s="8" t="s">
        <v>13</v>
      </c>
      <c r="E12" s="11"/>
      <c r="F12" s="8"/>
    </row>
    <row r="13" spans="1:6" ht="12.75">
      <c r="A13" s="22">
        <f>Shipping_loss</f>
        <v>0.995</v>
      </c>
      <c r="B13" s="8" t="s">
        <v>6</v>
      </c>
      <c r="C13" s="23">
        <f>Shipping_loss</f>
        <v>0.995</v>
      </c>
      <c r="D13" s="8" t="s">
        <v>6</v>
      </c>
      <c r="E13" s="11"/>
      <c r="F13" s="8"/>
    </row>
    <row r="14" spans="1:6" ht="12.75">
      <c r="A14" s="22">
        <v>0.95</v>
      </c>
      <c r="B14" s="8" t="s">
        <v>68</v>
      </c>
      <c r="C14" s="23">
        <v>0.97</v>
      </c>
      <c r="D14" s="8" t="s">
        <v>9</v>
      </c>
      <c r="E14" s="11"/>
      <c r="F14" s="8"/>
    </row>
    <row r="15" spans="1:6" ht="12.75">
      <c r="A15" s="22">
        <f>Shipping_loss</f>
        <v>0.995</v>
      </c>
      <c r="B15" s="8" t="s">
        <v>6</v>
      </c>
      <c r="C15" s="23">
        <v>0.99</v>
      </c>
      <c r="D15" s="8" t="s">
        <v>10</v>
      </c>
      <c r="E15" s="11"/>
      <c r="F15" s="8"/>
    </row>
    <row r="16" spans="1:6" ht="12.75">
      <c r="A16" s="22">
        <v>0.97</v>
      </c>
      <c r="B16" s="8" t="s">
        <v>9</v>
      </c>
      <c r="C16" s="23">
        <f>Shipping_loss</f>
        <v>0.995</v>
      </c>
      <c r="D16" s="8" t="s">
        <v>6</v>
      </c>
      <c r="E16" s="11"/>
      <c r="F16" s="8"/>
    </row>
    <row r="17" spans="1:6" ht="12.75">
      <c r="A17" s="22">
        <v>0.97</v>
      </c>
      <c r="B17" s="8" t="s">
        <v>10</v>
      </c>
      <c r="C17" s="22">
        <v>0.99</v>
      </c>
      <c r="D17" s="8" t="s">
        <v>22</v>
      </c>
      <c r="E17" s="11"/>
      <c r="F17" s="8"/>
    </row>
    <row r="18" spans="1:6" ht="12.75">
      <c r="A18" s="22">
        <f>Shipping_loss</f>
        <v>0.995</v>
      </c>
      <c r="B18" s="8" t="s">
        <v>6</v>
      </c>
      <c r="C18" s="17"/>
      <c r="D18" s="8"/>
      <c r="E18" s="17"/>
      <c r="F18" s="8"/>
    </row>
    <row r="19" spans="1:6" ht="12.75">
      <c r="A19" s="22">
        <v>0.99</v>
      </c>
      <c r="B19" s="8" t="s">
        <v>22</v>
      </c>
      <c r="C19" s="11"/>
      <c r="D19" s="8"/>
      <c r="E19" s="11"/>
      <c r="F19" s="8"/>
    </row>
    <row r="20" spans="1:6" ht="12.75">
      <c r="A20" s="18" t="s">
        <v>11</v>
      </c>
      <c r="B20" s="19">
        <f>PRODUCT(A6:A19)</f>
        <v>0.24117292847358907</v>
      </c>
      <c r="C20" s="11"/>
      <c r="D20" s="19">
        <f>PRODUCT(C6:C17)</f>
        <v>0.7470351944048749</v>
      </c>
      <c r="E20" s="11"/>
      <c r="F20" s="19">
        <f>PRODUCT(E6:E16)</f>
        <v>0.5986433668749999</v>
      </c>
    </row>
    <row r="21" spans="1:6" ht="12.75">
      <c r="A21" s="20"/>
      <c r="B21" s="9" t="s">
        <v>16</v>
      </c>
      <c r="C21" s="12"/>
      <c r="D21" s="9" t="s">
        <v>17</v>
      </c>
      <c r="E21" s="12"/>
      <c r="F21" s="9" t="s">
        <v>105</v>
      </c>
    </row>
    <row r="22" ht="12.75">
      <c r="A22" s="21"/>
    </row>
    <row r="23" spans="1:4" ht="12.75">
      <c r="A23" s="21"/>
      <c r="C23" s="13" t="s">
        <v>11</v>
      </c>
      <c r="D23" s="4" t="s">
        <v>19</v>
      </c>
    </row>
    <row r="24" spans="1:4" ht="12.75">
      <c r="A24" s="21"/>
      <c r="C24" s="22">
        <v>0.99</v>
      </c>
      <c r="D24" s="8" t="s">
        <v>20</v>
      </c>
    </row>
    <row r="25" spans="1:4" ht="12.75">
      <c r="A25" s="21"/>
      <c r="C25" s="22">
        <f>C24^18</f>
        <v>0.8345137614500874</v>
      </c>
      <c r="D25" s="8" t="s">
        <v>21</v>
      </c>
    </row>
    <row r="26" spans="1:4" ht="12.75">
      <c r="A26" s="21"/>
      <c r="C26" s="22">
        <f>Shipping_loss</f>
        <v>0.995</v>
      </c>
      <c r="D26" s="8" t="s">
        <v>6</v>
      </c>
    </row>
    <row r="27" spans="1:4" ht="12.75">
      <c r="A27" s="21"/>
      <c r="C27" s="22">
        <v>0.99</v>
      </c>
      <c r="D27" s="8" t="s">
        <v>67</v>
      </c>
    </row>
    <row r="28" spans="1:4" ht="12.75">
      <c r="A28" s="21"/>
      <c r="C28" s="22">
        <f>Shipping_loss</f>
        <v>0.995</v>
      </c>
      <c r="D28" s="8" t="s">
        <v>6</v>
      </c>
    </row>
    <row r="29" spans="1:4" ht="12.75">
      <c r="A29" s="21"/>
      <c r="C29" s="22">
        <v>0.98</v>
      </c>
      <c r="D29" s="8" t="s">
        <v>25</v>
      </c>
    </row>
    <row r="30" spans="1:4" ht="12.75">
      <c r="A30" s="21"/>
      <c r="C30" s="22">
        <v>0.95</v>
      </c>
      <c r="D30" s="8" t="s">
        <v>26</v>
      </c>
    </row>
    <row r="31" spans="1:4" ht="12.75">
      <c r="A31" s="21"/>
      <c r="C31" s="22">
        <f>Shipping_loss</f>
        <v>0.995</v>
      </c>
      <c r="D31" s="8" t="s">
        <v>6</v>
      </c>
    </row>
    <row r="32" spans="1:4" ht="12.75">
      <c r="A32" s="21"/>
      <c r="C32" s="11"/>
      <c r="D32" s="8"/>
    </row>
    <row r="33" spans="1:4" ht="12.75">
      <c r="A33" s="21"/>
      <c r="C33" s="11"/>
      <c r="D33" s="19">
        <f>PRODUCT(C24:C31)</f>
        <v>0.7501063036874742</v>
      </c>
    </row>
    <row r="34" spans="1:4" ht="12.75">
      <c r="A34" s="21"/>
      <c r="C34" s="14"/>
      <c r="D34" s="9" t="s">
        <v>27</v>
      </c>
    </row>
    <row r="35" ht="12.75">
      <c r="A35" s="21"/>
    </row>
    <row r="36" spans="1:2" ht="12.75">
      <c r="A36" s="32">
        <v>0.995</v>
      </c>
      <c r="B36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B12" sqref="B12"/>
    </sheetView>
  </sheetViews>
  <sheetFormatPr defaultColWidth="9.140625" defaultRowHeight="12.75"/>
  <cols>
    <col min="1" max="1" width="27.7109375" style="0" bestFit="1" customWidth="1"/>
    <col min="3" max="3" width="8.7109375" style="0" bestFit="1" customWidth="1"/>
  </cols>
  <sheetData>
    <row r="1" ht="12.75">
      <c r="A1" t="s">
        <v>116</v>
      </c>
    </row>
    <row r="2" ht="12.75">
      <c r="A2" t="s">
        <v>162</v>
      </c>
    </row>
    <row r="4" spans="1:3" ht="12.75">
      <c r="A4" t="s">
        <v>145</v>
      </c>
      <c r="B4" s="15">
        <f>1886*1.05</f>
        <v>1980.3000000000002</v>
      </c>
      <c r="C4" t="s">
        <v>157</v>
      </c>
    </row>
    <row r="5" spans="1:3" ht="12.75">
      <c r="A5" t="s">
        <v>144</v>
      </c>
      <c r="B5">
        <f>260*1.05</f>
        <v>273</v>
      </c>
      <c r="C5" t="s">
        <v>158</v>
      </c>
    </row>
    <row r="6" spans="1:2" ht="12.75">
      <c r="A6" t="s">
        <v>146</v>
      </c>
      <c r="B6" s="15">
        <f>B4*16</f>
        <v>31684.800000000003</v>
      </c>
    </row>
    <row r="7" spans="1:2" ht="12.75">
      <c r="A7" t="s">
        <v>149</v>
      </c>
      <c r="B7">
        <v>130</v>
      </c>
    </row>
    <row r="8" spans="1:2" ht="12.75">
      <c r="A8" t="s">
        <v>147</v>
      </c>
      <c r="B8">
        <f>16*B5</f>
        <v>4368</v>
      </c>
    </row>
    <row r="9" spans="1:2" ht="12.75">
      <c r="A9" t="s">
        <v>148</v>
      </c>
      <c r="B9">
        <v>130</v>
      </c>
    </row>
    <row r="10" spans="1:2" ht="12.75">
      <c r="A10" t="s">
        <v>28</v>
      </c>
      <c r="B10">
        <v>3</v>
      </c>
    </row>
    <row r="11" spans="1:2" ht="12.75">
      <c r="A11" t="s">
        <v>138</v>
      </c>
      <c r="B11" s="15">
        <f>B4+B5</f>
        <v>2253.3</v>
      </c>
    </row>
    <row r="12" spans="1:2" ht="12.75">
      <c r="A12" t="s">
        <v>139</v>
      </c>
      <c r="B12" s="15">
        <v>1000</v>
      </c>
    </row>
    <row r="14" spans="2:7" ht="12.75">
      <c r="B14" s="1"/>
      <c r="C14" s="1" t="s">
        <v>32</v>
      </c>
      <c r="D14" s="16" t="s">
        <v>137</v>
      </c>
      <c r="E14" s="1"/>
      <c r="F14" s="1"/>
      <c r="G14" s="16"/>
    </row>
    <row r="15" spans="1:5" ht="12.75">
      <c r="A15" t="s">
        <v>30</v>
      </c>
      <c r="B15" s="15">
        <f>(B4+B5)/Flex!D40</f>
        <v>2992.5412397494156</v>
      </c>
      <c r="E15" s="15"/>
    </row>
    <row r="16" spans="1:5" ht="12.75">
      <c r="A16" t="s">
        <v>150</v>
      </c>
      <c r="B16" s="15">
        <f>B4/Flex!D40</f>
        <v>2629.977995418172</v>
      </c>
      <c r="E16" s="15"/>
    </row>
    <row r="17" spans="1:5" ht="12.75">
      <c r="A17" t="s">
        <v>151</v>
      </c>
      <c r="B17" s="15">
        <f>B5/Flex!D40</f>
        <v>362.56324433124325</v>
      </c>
      <c r="E17" s="15"/>
    </row>
    <row r="18" spans="1:5" ht="12.75">
      <c r="A18" t="s">
        <v>153</v>
      </c>
      <c r="B18" s="15">
        <f>B16*16/Flex!B20</f>
        <v>132447.65059770763</v>
      </c>
      <c r="E18" s="15"/>
    </row>
    <row r="19" spans="1:7" ht="12.75">
      <c r="A19" t="s">
        <v>154</v>
      </c>
      <c r="B19" s="15">
        <f>B18/B7</f>
        <v>1018.8280815208279</v>
      </c>
      <c r="C19" s="15"/>
      <c r="D19" s="15"/>
      <c r="E19" s="15"/>
      <c r="F19" s="15"/>
      <c r="G19" s="15"/>
    </row>
    <row r="20" spans="1:7" ht="12.75">
      <c r="A20" t="s">
        <v>152</v>
      </c>
      <c r="B20" s="15">
        <f>B17*16/Flex!B20</f>
        <v>18258.95501346977</v>
      </c>
      <c r="C20" s="15"/>
      <c r="D20" s="15"/>
      <c r="E20" s="15"/>
      <c r="F20" s="15"/>
      <c r="G20" s="15"/>
    </row>
    <row r="21" spans="1:7" ht="12.75">
      <c r="A21" t="s">
        <v>155</v>
      </c>
      <c r="B21" s="15">
        <f>B20/B9</f>
        <v>140.45350010361364</v>
      </c>
      <c r="C21" s="15"/>
      <c r="D21" s="15"/>
      <c r="E21" s="15"/>
      <c r="F21" s="15"/>
      <c r="G21" s="15"/>
    </row>
    <row r="22" spans="1:7" ht="12.75">
      <c r="A22" t="s">
        <v>135</v>
      </c>
      <c r="B22" s="15">
        <f>B11/Flex!A32</f>
        <v>2836.5050130668537</v>
      </c>
      <c r="C22" s="15"/>
      <c r="D22" s="15"/>
      <c r="E22" s="15"/>
      <c r="F22" s="15"/>
      <c r="G22" s="15"/>
    </row>
    <row r="23" spans="1:7" ht="12.75">
      <c r="A23" t="s">
        <v>136</v>
      </c>
      <c r="B23" s="15">
        <f>B22/B12</f>
        <v>2.8365050130668537</v>
      </c>
      <c r="C23" s="15"/>
      <c r="D23" s="15"/>
      <c r="E23" s="15"/>
      <c r="F23" s="15"/>
      <c r="G23" s="15"/>
    </row>
    <row r="24" spans="1:7" ht="12.75">
      <c r="A24" t="s">
        <v>31</v>
      </c>
      <c r="B24" s="15">
        <f>(B15/B10)/Flex!D20</f>
        <v>1203.6335599836418</v>
      </c>
      <c r="C24" s="15"/>
      <c r="D24" s="15"/>
      <c r="E24" s="15"/>
      <c r="F24" s="15"/>
      <c r="G24" s="15"/>
    </row>
    <row r="25" spans="1:7" ht="12.75">
      <c r="A25" t="s">
        <v>117</v>
      </c>
      <c r="B25" s="15">
        <f>B16/Flex!F20</f>
        <v>3047.434940678781</v>
      </c>
      <c r="C25" t="s">
        <v>156</v>
      </c>
      <c r="D25" s="15"/>
      <c r="E25" s="15"/>
      <c r="G25" s="15"/>
    </row>
    <row r="26" spans="1:7" ht="12.75">
      <c r="A26" t="s">
        <v>119</v>
      </c>
      <c r="B26" s="15">
        <f>B28/Flex!A41</f>
        <v>2651.991033448575</v>
      </c>
      <c r="D26" s="15"/>
      <c r="E26" s="15"/>
      <c r="G26" s="15"/>
    </row>
    <row r="27" spans="1:7" ht="12.75">
      <c r="A27" t="s">
        <v>142</v>
      </c>
      <c r="B27" s="15">
        <f>B28/Flex!A36</f>
        <v>2625.537422889925</v>
      </c>
      <c r="D27" s="15"/>
      <c r="E27" s="15"/>
      <c r="G27" s="15"/>
    </row>
    <row r="28" spans="1:7" ht="12.75">
      <c r="A28" t="s">
        <v>118</v>
      </c>
      <c r="B28" s="15">
        <f>(B4+B5)/Flex!F40</f>
        <v>2494.2605517454285</v>
      </c>
      <c r="D28" s="15"/>
      <c r="E28" s="15"/>
      <c r="G28" s="15"/>
    </row>
    <row r="29" spans="1:7" ht="12.75">
      <c r="A29" t="s">
        <v>110</v>
      </c>
      <c r="B29" s="15">
        <f>B15</f>
        <v>2992.5412397494156</v>
      </c>
      <c r="D29" s="15"/>
      <c r="E29" s="15"/>
      <c r="G29" s="15"/>
    </row>
    <row r="30" spans="1:7" ht="12.75">
      <c r="A30" t="s">
        <v>33</v>
      </c>
      <c r="B30" s="15">
        <f>B19+B21</f>
        <v>1159.2815816244415</v>
      </c>
      <c r="C30" s="15"/>
      <c r="D30" s="15"/>
      <c r="E30" s="15"/>
      <c r="F30" s="15"/>
      <c r="G30" s="15"/>
    </row>
    <row r="31" spans="1:7" ht="12.75">
      <c r="A31" t="s">
        <v>34</v>
      </c>
      <c r="B31" s="15">
        <f>B24</f>
        <v>1203.6335599836418</v>
      </c>
      <c r="C31" s="15"/>
      <c r="D31" s="15"/>
      <c r="E31" s="15"/>
      <c r="F31" s="15"/>
      <c r="G31" s="15"/>
    </row>
    <row r="33" spans="2:7" ht="12.75">
      <c r="B33" t="s">
        <v>35</v>
      </c>
      <c r="D33" s="15"/>
      <c r="G33" s="15"/>
    </row>
    <row r="35" ht="12.75">
      <c r="E35" s="15"/>
    </row>
    <row r="38" spans="1:8" ht="12.75">
      <c r="A38" t="s">
        <v>48</v>
      </c>
      <c r="F38">
        <v>2.06</v>
      </c>
      <c r="G38" t="s">
        <v>63</v>
      </c>
      <c r="H38">
        <v>5000</v>
      </c>
    </row>
    <row r="39" spans="1:8" ht="12.75">
      <c r="A39" t="s">
        <v>49</v>
      </c>
      <c r="F39">
        <v>0.35</v>
      </c>
      <c r="G39" t="s">
        <v>63</v>
      </c>
      <c r="H39">
        <v>1000</v>
      </c>
    </row>
    <row r="40" spans="1:8" ht="12.75">
      <c r="A40" t="s">
        <v>50</v>
      </c>
      <c r="F40">
        <v>0.2375</v>
      </c>
      <c r="G40" t="s">
        <v>63</v>
      </c>
      <c r="H40">
        <v>400</v>
      </c>
    </row>
    <row r="41" spans="1:8" ht="12.75">
      <c r="A41" t="s">
        <v>51</v>
      </c>
      <c r="F41">
        <v>0.075</v>
      </c>
      <c r="G41" t="s">
        <v>63</v>
      </c>
      <c r="H41">
        <v>300</v>
      </c>
    </row>
    <row r="42" ht="12.75">
      <c r="A42" t="s">
        <v>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3">
      <selection activeCell="E19" sqref="E19"/>
    </sheetView>
  </sheetViews>
  <sheetFormatPr defaultColWidth="9.140625" defaultRowHeight="12.75"/>
  <cols>
    <col min="1" max="1" width="16.7109375" style="0" customWidth="1"/>
    <col min="2" max="2" width="12.421875" style="0" customWidth="1"/>
    <col min="6" max="6" width="50.28125" style="0" customWidth="1"/>
  </cols>
  <sheetData>
    <row r="1" ht="12.75">
      <c r="A1" t="s">
        <v>69</v>
      </c>
    </row>
    <row r="2" ht="12.75">
      <c r="A2" t="s">
        <v>70</v>
      </c>
    </row>
    <row r="4" spans="1:6" s="1" customFormat="1" ht="12.75">
      <c r="A4" s="1" t="s">
        <v>2</v>
      </c>
      <c r="B4" s="1" t="s">
        <v>71</v>
      </c>
      <c r="C4" s="1" t="s">
        <v>72</v>
      </c>
      <c r="D4" s="1" t="s">
        <v>73</v>
      </c>
      <c r="E4" s="1" t="s">
        <v>74</v>
      </c>
      <c r="F4" s="1" t="s">
        <v>75</v>
      </c>
    </row>
    <row r="5" spans="1:6" ht="12.75">
      <c r="A5" t="s">
        <v>76</v>
      </c>
      <c r="B5" s="15">
        <v>2</v>
      </c>
      <c r="C5" s="27"/>
      <c r="D5" s="27">
        <v>13.4</v>
      </c>
      <c r="E5" s="28">
        <f>B5/60*D5</f>
        <v>0.44666666666666666</v>
      </c>
      <c r="F5" t="s">
        <v>77</v>
      </c>
    </row>
    <row r="6" spans="1:6" ht="12.75">
      <c r="A6" t="s">
        <v>78</v>
      </c>
      <c r="B6" s="15"/>
      <c r="C6" s="27">
        <v>13.4</v>
      </c>
      <c r="D6" s="27"/>
      <c r="E6" s="28">
        <f>C6</f>
        <v>13.4</v>
      </c>
      <c r="F6" t="s">
        <v>79</v>
      </c>
    </row>
    <row r="7" spans="1:5" ht="12.75">
      <c r="A7" t="s">
        <v>15</v>
      </c>
      <c r="B7" s="15">
        <v>60</v>
      </c>
      <c r="C7" s="27"/>
      <c r="D7" s="27">
        <v>13.4</v>
      </c>
      <c r="E7" s="28">
        <f>B7/60*D7</f>
        <v>13.4</v>
      </c>
    </row>
    <row r="8" spans="1:6" ht="12.75">
      <c r="A8" t="s">
        <v>78</v>
      </c>
      <c r="B8" s="15">
        <v>5</v>
      </c>
      <c r="C8" s="27"/>
      <c r="D8" s="27">
        <v>13.4</v>
      </c>
      <c r="E8" s="28">
        <f>B8/60*D8</f>
        <v>1.1166666666666667</v>
      </c>
      <c r="F8" t="s">
        <v>80</v>
      </c>
    </row>
    <row r="9" spans="1:5" ht="12.75">
      <c r="A9" t="s">
        <v>81</v>
      </c>
      <c r="B9" s="15">
        <v>30</v>
      </c>
      <c r="C9" s="27"/>
      <c r="D9" s="27">
        <v>13.4</v>
      </c>
      <c r="E9" s="28">
        <f>B9/60*D9</f>
        <v>6.7</v>
      </c>
    </row>
    <row r="10" spans="1:6" ht="12.75">
      <c r="A10" t="s">
        <v>82</v>
      </c>
      <c r="B10" s="15"/>
      <c r="C10" s="27">
        <v>0.134</v>
      </c>
      <c r="D10" s="27"/>
      <c r="E10" s="28">
        <f>C10*(23*16+84)</f>
        <v>60.568000000000005</v>
      </c>
      <c r="F10" t="s">
        <v>83</v>
      </c>
    </row>
    <row r="11" spans="1:5" ht="12.75">
      <c r="A11" t="s">
        <v>84</v>
      </c>
      <c r="B11" s="15">
        <v>30</v>
      </c>
      <c r="C11" s="27"/>
      <c r="D11" s="27">
        <v>13.4</v>
      </c>
      <c r="E11" s="28">
        <f>B11/60*D11</f>
        <v>6.7</v>
      </c>
    </row>
    <row r="12" spans="1:5" ht="12.75">
      <c r="A12" t="s">
        <v>85</v>
      </c>
      <c r="B12" s="15">
        <v>30</v>
      </c>
      <c r="C12" s="27"/>
      <c r="D12" s="27">
        <v>13.4</v>
      </c>
      <c r="E12" s="28">
        <f>B12/60*D12</f>
        <v>6.7</v>
      </c>
    </row>
    <row r="13" spans="1:6" ht="12.75">
      <c r="A13" t="s">
        <v>86</v>
      </c>
      <c r="B13" s="15">
        <v>20</v>
      </c>
      <c r="C13" s="27"/>
      <c r="D13" s="27">
        <v>13.4</v>
      </c>
      <c r="E13" s="28">
        <f>B13/60*D13</f>
        <v>4.466666666666667</v>
      </c>
      <c r="F13" t="s">
        <v>87</v>
      </c>
    </row>
    <row r="14" spans="1:6" ht="12.75">
      <c r="A14" t="s">
        <v>88</v>
      </c>
      <c r="E14" s="28">
        <v>10.4</v>
      </c>
      <c r="F14" t="s">
        <v>89</v>
      </c>
    </row>
    <row r="15" spans="4:5" ht="12.75">
      <c r="D15" t="s">
        <v>90</v>
      </c>
      <c r="E15" s="28">
        <f>SUM(E5:E14)</f>
        <v>123.89800000000002</v>
      </c>
    </row>
    <row r="17" spans="1:5" s="1" customFormat="1" ht="12.75">
      <c r="A17" s="1" t="s">
        <v>91</v>
      </c>
      <c r="B17" s="1" t="s">
        <v>71</v>
      </c>
      <c r="C17" s="1" t="s">
        <v>72</v>
      </c>
      <c r="D17" s="1" t="s">
        <v>73</v>
      </c>
      <c r="E17" s="1" t="s">
        <v>74</v>
      </c>
    </row>
    <row r="18" spans="1:6" ht="12.75">
      <c r="A18" t="s">
        <v>92</v>
      </c>
      <c r="C18">
        <v>270</v>
      </c>
      <c r="E18">
        <v>270</v>
      </c>
      <c r="F18" t="s">
        <v>93</v>
      </c>
    </row>
    <row r="20" spans="1:6" ht="12.75">
      <c r="A20" t="s">
        <v>94</v>
      </c>
      <c r="F20" t="s">
        <v>95</v>
      </c>
    </row>
    <row r="21" spans="1:5" ht="12.75">
      <c r="A21" s="29" t="s">
        <v>96</v>
      </c>
      <c r="B21">
        <v>30</v>
      </c>
      <c r="D21" s="27">
        <v>13.4</v>
      </c>
      <c r="E21" s="28">
        <f>B21/60*D21</f>
        <v>6.7</v>
      </c>
    </row>
    <row r="22" spans="1:5" ht="12.75">
      <c r="A22" s="29" t="s">
        <v>97</v>
      </c>
      <c r="C22">
        <v>53.6</v>
      </c>
      <c r="E22">
        <f>C22</f>
        <v>53.6</v>
      </c>
    </row>
    <row r="23" spans="4:5" ht="12.75">
      <c r="D23" t="s">
        <v>98</v>
      </c>
      <c r="E23" s="28">
        <f>E21+E22</f>
        <v>60.300000000000004</v>
      </c>
    </row>
    <row r="24" spans="4:6" ht="12.75">
      <c r="D24" t="s">
        <v>99</v>
      </c>
      <c r="E24">
        <f>6/40*'Flex Cost'!E23</f>
        <v>9.045</v>
      </c>
      <c r="F24" t="s">
        <v>100</v>
      </c>
    </row>
    <row r="25" spans="4:6" ht="12.75">
      <c r="D25" s="30" t="s">
        <v>101</v>
      </c>
      <c r="E25" s="28">
        <f>SUM(E5:E14)+E18+E21+E24</f>
        <v>409.64300000000003</v>
      </c>
      <c r="F25" t="s">
        <v>102</v>
      </c>
    </row>
  </sheetData>
  <printOptions/>
  <pageMargins left="0.75" right="0.75" top="1" bottom="1" header="0.5" footer="0.5"/>
  <pageSetup horizontalDpi="300" verticalDpi="300" orientation="landscape" r:id="rId2"/>
  <headerFooter alignWithMargins="0">
    <oddHeader>&amp;C&amp;24Ge Flex Cost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3" sqref="A3:IV3"/>
    </sheetView>
  </sheetViews>
  <sheetFormatPr defaultColWidth="9.140625" defaultRowHeight="12.75"/>
  <cols>
    <col min="1" max="1" width="12.00390625" style="0" bestFit="1" customWidth="1"/>
    <col min="2" max="2" width="15.7109375" style="0" bestFit="1" customWidth="1"/>
    <col min="3" max="3" width="9.28125" style="0" bestFit="1" customWidth="1"/>
    <col min="4" max="4" width="15.7109375" style="0" bestFit="1" customWidth="1"/>
    <col min="5" max="5" width="29.28125" style="0" bestFit="1" customWidth="1"/>
  </cols>
  <sheetData>
    <row r="1" spans="1:5" ht="23.25">
      <c r="A1" s="64" t="s">
        <v>4</v>
      </c>
      <c r="B1" s="64"/>
      <c r="C1" s="64" t="s">
        <v>29</v>
      </c>
      <c r="D1" s="64"/>
      <c r="E1" s="34" t="s">
        <v>108</v>
      </c>
    </row>
    <row r="2" spans="1:5" ht="23.25">
      <c r="A2" s="33" t="s">
        <v>106</v>
      </c>
      <c r="B2" s="33" t="s">
        <v>107</v>
      </c>
      <c r="C2" s="33" t="s">
        <v>106</v>
      </c>
      <c r="D2" s="33" t="s">
        <v>107</v>
      </c>
      <c r="E2" s="34" t="s">
        <v>109</v>
      </c>
    </row>
    <row r="3" spans="1:6" ht="23.25">
      <c r="A3" s="35">
        <v>0.97</v>
      </c>
      <c r="B3" s="34">
        <v>111</v>
      </c>
      <c r="C3" s="35">
        <v>0.6</v>
      </c>
      <c r="D3" s="34">
        <v>450</v>
      </c>
      <c r="E3" s="33">
        <v>1039</v>
      </c>
      <c r="F3" s="34" t="s">
        <v>111</v>
      </c>
    </row>
    <row r="4" spans="1:6" ht="23.25">
      <c r="A4" s="35">
        <v>0.72</v>
      </c>
      <c r="B4" s="34">
        <v>305</v>
      </c>
      <c r="C4" s="35">
        <v>0.6</v>
      </c>
      <c r="D4" s="34">
        <v>450</v>
      </c>
      <c r="E4" s="33">
        <v>77</v>
      </c>
      <c r="F4" s="34" t="s">
        <v>111</v>
      </c>
    </row>
    <row r="5" spans="1:6" ht="23.25">
      <c r="A5" s="35">
        <v>0.97</v>
      </c>
      <c r="B5" s="34">
        <v>111</v>
      </c>
      <c r="C5" s="35">
        <v>0.67</v>
      </c>
      <c r="D5" s="34">
        <v>675</v>
      </c>
      <c r="E5" s="33">
        <v>1475</v>
      </c>
      <c r="F5" s="34" t="s">
        <v>112</v>
      </c>
    </row>
    <row r="6" spans="1:6" ht="23.25">
      <c r="A6" s="35">
        <v>0.72</v>
      </c>
      <c r="B6" s="34">
        <v>305</v>
      </c>
      <c r="C6" s="35">
        <v>0.67</v>
      </c>
      <c r="D6" s="34">
        <v>675</v>
      </c>
      <c r="E6" s="33">
        <v>753</v>
      </c>
      <c r="F6" s="34" t="s">
        <v>112</v>
      </c>
    </row>
  </sheetData>
  <mergeCells count="2">
    <mergeCell ref="A1:B1"/>
    <mergeCell ref="C1:D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cp:lastPrinted>1999-09-19T23:39:00Z</cp:lastPrinted>
  <dcterms:created xsi:type="dcterms:W3CDTF">1998-11-15T05:55:21Z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