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Assumptions" sheetId="1" r:id="rId1"/>
    <sheet name="Flex" sheetId="2" r:id="rId2"/>
    <sheet name="MCM-D" sheetId="3" r:id="rId3"/>
    <sheet name="Cost Model" sheetId="4" r:id="rId4"/>
    <sheet name="Flex Cost" sheetId="5" r:id="rId5"/>
    <sheet name="Comparison" sheetId="6" r:id="rId6"/>
  </sheets>
  <definedNames>
    <definedName name="BumpDet">'Cost Model'!$F$27</definedName>
    <definedName name="BumpIC">'Cost Model'!$F$26</definedName>
    <definedName name="Detwafer">'Cost Model'!$F$25</definedName>
    <definedName name="ICwafer">'Cost Model'!$F$24</definedName>
    <definedName name="Shipping_loss" localSheetId="2">'MCM-D'!$A$36</definedName>
    <definedName name="Shipping_loss">'Flex'!#REF!</definedName>
  </definedNames>
  <calcPr fullCalcOnLoad="1"/>
</workbook>
</file>

<file path=xl/sharedStrings.xml><?xml version="1.0" encoding="utf-8"?>
<sst xmlns="http://schemas.openxmlformats.org/spreadsheetml/2006/main" count="325" uniqueCount="157">
  <si>
    <t>Pixel Module Yield Model</t>
  </si>
  <si>
    <t>ICs</t>
  </si>
  <si>
    <t>Step</t>
  </si>
  <si>
    <t>Detectors</t>
  </si>
  <si>
    <t>Flex</t>
  </si>
  <si>
    <t>Fab</t>
  </si>
  <si>
    <t>Ship</t>
  </si>
  <si>
    <t>Probe</t>
  </si>
  <si>
    <t>Bump deposition</t>
  </si>
  <si>
    <t>Dice</t>
  </si>
  <si>
    <t>Sort</t>
  </si>
  <si>
    <t>Yield(%)</t>
  </si>
  <si>
    <t>Shipping yield</t>
  </si>
  <si>
    <t>Inspection(bump yield)</t>
  </si>
  <si>
    <t>Inspect/repair</t>
  </si>
  <si>
    <t>Mount components</t>
  </si>
  <si>
    <t>per die</t>
  </si>
  <si>
    <t>per tile</t>
  </si>
  <si>
    <t>Module Assembly</t>
  </si>
  <si>
    <t>Flip chip/die</t>
  </si>
  <si>
    <t>Flip chip/module</t>
  </si>
  <si>
    <t>Inspect</t>
  </si>
  <si>
    <t>Attach flex</t>
  </si>
  <si>
    <t>Wire bond(with repair)</t>
  </si>
  <si>
    <t>Attach pwr/optics</t>
  </si>
  <si>
    <t>Test/burn in</t>
  </si>
  <si>
    <t>per module</t>
  </si>
  <si>
    <t>Cost Model Comparison</t>
  </si>
  <si>
    <t>Number of modules</t>
  </si>
  <si>
    <t>Number of die</t>
  </si>
  <si>
    <t>Die per wafer</t>
  </si>
  <si>
    <t>Detectors/wafer</t>
  </si>
  <si>
    <t>MCM-D</t>
  </si>
  <si>
    <t>Total modules started</t>
  </si>
  <si>
    <t>Total IC die required</t>
  </si>
  <si>
    <t>Total IC wafers</t>
  </si>
  <si>
    <t>Total detector wafers</t>
  </si>
  <si>
    <t>Cost/Unit</t>
  </si>
  <si>
    <t>Cost(kchf)</t>
  </si>
  <si>
    <t>Total bump IC</t>
  </si>
  <si>
    <t>Total bump detector</t>
  </si>
  <si>
    <t>GRAND TOTALS</t>
  </si>
  <si>
    <t>Total flex/MCM-D needed</t>
  </si>
  <si>
    <t>kchf</t>
  </si>
  <si>
    <t>Assumptions for Yield Model</t>
  </si>
  <si>
    <t>These spreadsheets provide a framework for comparing the cost of a flex hybrid implementation of</t>
  </si>
  <si>
    <t>pixel modules and an MCM-D implementation of pixel modules.  You may modify</t>
  </si>
  <si>
    <t>the entries to investigate different models for the yield.</t>
  </si>
  <si>
    <t xml:space="preserve">It should be emphasized that the cost differential between MCM-D and flex depends </t>
  </si>
  <si>
    <t>on both the yield assumptions and the actual cost of the major components(ICs, detectors and</t>
  </si>
  <si>
    <t xml:space="preserve">flex or MCM-D). These costs are not very well known at this time. </t>
  </si>
  <si>
    <t xml:space="preserve">I have used CORE costs for the ICs and the detectors, with the critical assumption that the </t>
  </si>
  <si>
    <t>detector CORE cost corresponds to good tiles only from the detector vendors(100% yield). If</t>
  </si>
  <si>
    <t xml:space="preserve">you don't like this, you can change the spreadsheet entry. </t>
  </si>
  <si>
    <t>Please also note that the IC yield is critical to the absolute cost</t>
  </si>
  <si>
    <t>IC wafer cost assumption is cost/wafer = 6242-(#wafers-1200)x</t>
  </si>
  <si>
    <t>Detector wafer cost assumption is cost/wafer=1150-(#wafers-1200)x</t>
  </si>
  <si>
    <t>Bump IC wafer cost assumption is cost/wafer=690-(#wafers-1200)x</t>
  </si>
  <si>
    <t>Bump detector wafer assumption is cost/wafer=460-(#wafers-1200)x</t>
  </si>
  <si>
    <t>Here are some example results for different assumptions.</t>
  </si>
  <si>
    <t>IC Yield</t>
  </si>
  <si>
    <t>(%)</t>
  </si>
  <si>
    <t>Detector</t>
  </si>
  <si>
    <t>Tiles/Wafer</t>
  </si>
  <si>
    <t>Flex/MCM-D</t>
  </si>
  <si>
    <t>Module</t>
  </si>
  <si>
    <t>Cost of</t>
  </si>
  <si>
    <t>Flex-MCM-D</t>
  </si>
  <si>
    <t>3/3</t>
  </si>
  <si>
    <t>3/2</t>
  </si>
  <si>
    <t>min cost</t>
  </si>
  <si>
    <t>Last update: November 23, 1998</t>
  </si>
  <si>
    <t>Flex and MCM-D costs are fixed at the moment.</t>
  </si>
  <si>
    <t>Inspect(in fab)</t>
  </si>
  <si>
    <t>Probe bare module</t>
  </si>
  <si>
    <t>Cut(in fab)</t>
  </si>
  <si>
    <t>Probe(in fab)</t>
  </si>
  <si>
    <t>Thin and metallize</t>
  </si>
  <si>
    <t>Created by R. Boyd January 28, 1999</t>
  </si>
  <si>
    <t>Last modified Febuary 1, 1999</t>
  </si>
  <si>
    <t>time/unit (min.)</t>
  </si>
  <si>
    <t>cost/unit</t>
  </si>
  <si>
    <t>chf/hour</t>
  </si>
  <si>
    <t>total chf</t>
  </si>
  <si>
    <t>Notes</t>
  </si>
  <si>
    <t>Flex Singulation</t>
  </si>
  <si>
    <t>Use die to punch out flex</t>
  </si>
  <si>
    <t>Testing</t>
  </si>
  <si>
    <t>Outside vendor</t>
  </si>
  <si>
    <t>In house</t>
  </si>
  <si>
    <t>Attach to module</t>
  </si>
  <si>
    <t>Wire bond</t>
  </si>
  <si>
    <t>Based on $.01/bond * 23*16 (FE)+84(MCC&amp;Link)</t>
  </si>
  <si>
    <t>Attach power</t>
  </si>
  <si>
    <t>Attach link</t>
  </si>
  <si>
    <t xml:space="preserve">test/burn in </t>
  </si>
  <si>
    <t>setup, break down, monitor</t>
  </si>
  <si>
    <t>SMT components</t>
  </si>
  <si>
    <t>Assumes caps only, all resistors in IC's</t>
  </si>
  <si>
    <t>Subtotal</t>
  </si>
  <si>
    <t>Item</t>
  </si>
  <si>
    <t>Flex fabrication</t>
  </si>
  <si>
    <t>Based on CLEOIII</t>
  </si>
  <si>
    <t>Shipping (per 40 units)</t>
  </si>
  <si>
    <t>A GE lot is 40 units</t>
  </si>
  <si>
    <t>packing</t>
  </si>
  <si>
    <t>carrier</t>
  </si>
  <si>
    <t>subtotal</t>
  </si>
  <si>
    <t>Total/unit</t>
  </si>
  <si>
    <t>Adjust for shipping 40 units and number of times shipped</t>
  </si>
  <si>
    <t>GRAND TOTAL/UNIT</t>
  </si>
  <si>
    <t>per unit cost</t>
  </si>
  <si>
    <t>Probe/burn-in</t>
  </si>
  <si>
    <t>Last Update: February 14,1999</t>
  </si>
  <si>
    <t>per MCM-D tile</t>
  </si>
  <si>
    <t>Difference in cost(MCM-D - flex)</t>
  </si>
  <si>
    <t>Yield</t>
  </si>
  <si>
    <t>Unit Cost</t>
  </si>
  <si>
    <t>Cost Difference</t>
  </si>
  <si>
    <t>MCM-D-Flex(kchf)</t>
  </si>
  <si>
    <t>Flip chip modules</t>
  </si>
  <si>
    <t>3/wafer for both</t>
  </si>
  <si>
    <t>3/flex and 2/MCMD</t>
  </si>
  <si>
    <t>LBL</t>
  </si>
  <si>
    <t>New Mexico</t>
  </si>
  <si>
    <t>Oklahoma</t>
  </si>
  <si>
    <t>Albany</t>
  </si>
  <si>
    <t>Flex Hybrid</t>
  </si>
  <si>
    <t>Albany, Oklahoma/LBL, if needed</t>
  </si>
  <si>
    <t>Local Power Cabling</t>
  </si>
  <si>
    <t>FE ICs</t>
  </si>
  <si>
    <t>Optical Components</t>
  </si>
  <si>
    <t>LBL, others are TBD</t>
  </si>
  <si>
    <t>IC fab</t>
  </si>
  <si>
    <t>IC Ship</t>
  </si>
  <si>
    <t>IC Probe</t>
  </si>
  <si>
    <t>IC thin</t>
  </si>
  <si>
    <t>LBL, if needed</t>
  </si>
  <si>
    <t>IC dice</t>
  </si>
  <si>
    <t>Fiber fab</t>
  </si>
  <si>
    <t>Fiber ship</t>
  </si>
  <si>
    <t>Fiber inspect/test</t>
  </si>
  <si>
    <t>Ohio</t>
  </si>
  <si>
    <t>Ohio, LBL if needed</t>
  </si>
  <si>
    <t>Package fab</t>
  </si>
  <si>
    <t>Package ship</t>
  </si>
  <si>
    <t>Package inspect/test</t>
  </si>
  <si>
    <t>Inspect/Test</t>
  </si>
  <si>
    <t>MCC ICs</t>
  </si>
  <si>
    <t>Thin</t>
  </si>
  <si>
    <t>Albany, UNM, OSU, UOK</t>
  </si>
  <si>
    <t xml:space="preserve">Database </t>
  </si>
  <si>
    <t>Requirements</t>
  </si>
  <si>
    <t>Code development</t>
  </si>
  <si>
    <t>Code support</t>
  </si>
  <si>
    <t>Central hardware</t>
  </si>
  <si>
    <t>LBL, New Mexico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</si>
</sst>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0"/>
    <numFmt numFmtId="167" formatCode="0.000"/>
    <numFmt numFmtId="168" formatCode="0.00000"/>
    <numFmt numFmtId="169" formatCode="0.000000"/>
  </numFmts>
  <fonts count="5">
    <font>
      <sz val="10"/>
      <name val="Arial"/>
      <family val="0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b/>
      <u val="single"/>
      <sz val="10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44" fontId="2" fillId="0" borderId="3" xfId="17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9" fontId="0" fillId="0" borderId="3" xfId="19" applyBorder="1" applyAlignment="1">
      <alignment/>
    </xf>
    <xf numFmtId="9" fontId="0" fillId="0" borderId="3" xfId="19" applyFont="1" applyBorder="1" applyAlignment="1">
      <alignment/>
    </xf>
    <xf numFmtId="9" fontId="0" fillId="0" borderId="4" xfId="19" applyBorder="1" applyAlignment="1">
      <alignment horizontal="center"/>
    </xf>
    <xf numFmtId="9" fontId="0" fillId="0" borderId="6" xfId="19" applyBorder="1" applyAlignment="1">
      <alignment/>
    </xf>
    <xf numFmtId="9" fontId="0" fillId="0" borderId="0" xfId="19" applyAlignment="1">
      <alignment/>
    </xf>
    <xf numFmtId="165" fontId="0" fillId="0" borderId="3" xfId="19" applyNumberFormat="1" applyBorder="1" applyAlignment="1">
      <alignment/>
    </xf>
    <xf numFmtId="165" fontId="0" fillId="0" borderId="3" xfId="19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3" xfId="0" applyNumberFormat="1" applyBorder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165" fontId="0" fillId="0" borderId="0" xfId="19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9" fontId="4" fillId="0" borderId="0" xfId="19" applyFont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6</xdr:col>
      <xdr:colOff>0</xdr:colOff>
      <xdr:row>15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7124700" cy="1943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6</xdr:col>
      <xdr:colOff>0</xdr:colOff>
      <xdr:row>24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2609850"/>
          <a:ext cx="7124700" cy="1285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3" sqref="A3"/>
    </sheetView>
  </sheetViews>
  <sheetFormatPr defaultColWidth="9.140625" defaultRowHeight="12.75"/>
  <cols>
    <col min="3" max="3" width="11.421875" style="0" bestFit="1" customWidth="1"/>
    <col min="6" max="6" width="11.421875" style="0" bestFit="1" customWidth="1"/>
  </cols>
  <sheetData>
    <row r="1" ht="12.75">
      <c r="A1" t="s">
        <v>44</v>
      </c>
    </row>
    <row r="2" ht="12.75">
      <c r="A2" t="s">
        <v>71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8" ht="12.75">
      <c r="A8" t="s">
        <v>48</v>
      </c>
    </row>
    <row r="9" ht="12.75">
      <c r="A9" t="s">
        <v>49</v>
      </c>
    </row>
    <row r="10" ht="12.75">
      <c r="A10" t="s">
        <v>50</v>
      </c>
    </row>
    <row r="11" ht="12.75">
      <c r="A11" t="s">
        <v>51</v>
      </c>
    </row>
    <row r="12" ht="12.75">
      <c r="A12" t="s">
        <v>52</v>
      </c>
    </row>
    <row r="13" ht="12.75">
      <c r="A13" t="s">
        <v>53</v>
      </c>
    </row>
    <row r="14" ht="12.75">
      <c r="A14" t="s">
        <v>54</v>
      </c>
    </row>
    <row r="16" ht="12.75">
      <c r="A16" t="s">
        <v>59</v>
      </c>
    </row>
    <row r="17" spans="4:6" ht="12.75">
      <c r="D17" s="22" t="s">
        <v>4</v>
      </c>
      <c r="E17" s="22" t="s">
        <v>32</v>
      </c>
      <c r="F17" s="22" t="s">
        <v>66</v>
      </c>
    </row>
    <row r="18" spans="1:6" ht="12.75">
      <c r="A18" s="22" t="s">
        <v>60</v>
      </c>
      <c r="B18" s="22" t="s">
        <v>62</v>
      </c>
      <c r="C18" s="22" t="s">
        <v>63</v>
      </c>
      <c r="D18" s="22" t="s">
        <v>65</v>
      </c>
      <c r="E18" s="22" t="s">
        <v>65</v>
      </c>
      <c r="F18" s="22" t="s">
        <v>67</v>
      </c>
    </row>
    <row r="19" spans="1:6" ht="12.75">
      <c r="A19" s="1" t="s">
        <v>61</v>
      </c>
      <c r="B19" s="1" t="s">
        <v>11</v>
      </c>
      <c r="C19" s="1" t="s">
        <v>64</v>
      </c>
      <c r="D19" s="1" t="s">
        <v>11</v>
      </c>
      <c r="E19" s="1" t="s">
        <v>11</v>
      </c>
      <c r="F19" s="1" t="s">
        <v>43</v>
      </c>
    </row>
    <row r="20" spans="1:6" ht="12.75">
      <c r="A20" s="22">
        <v>30</v>
      </c>
      <c r="B20" s="22">
        <v>100</v>
      </c>
      <c r="C20" s="23" t="s">
        <v>68</v>
      </c>
      <c r="D20" s="22">
        <v>71</v>
      </c>
      <c r="E20" s="22">
        <v>75</v>
      </c>
      <c r="F20" s="22">
        <v>1995</v>
      </c>
    </row>
    <row r="21" spans="1:6" ht="12.75">
      <c r="A21" s="22">
        <v>30</v>
      </c>
      <c r="B21" s="22">
        <v>100</v>
      </c>
      <c r="C21" s="23" t="s">
        <v>69</v>
      </c>
      <c r="D21" s="22">
        <v>71</v>
      </c>
      <c r="E21" s="22">
        <v>75</v>
      </c>
      <c r="F21" s="22">
        <v>2918</v>
      </c>
    </row>
    <row r="22" spans="1:6" ht="12.75">
      <c r="A22" s="22">
        <v>30</v>
      </c>
      <c r="B22" s="22">
        <v>100</v>
      </c>
      <c r="C22" s="23" t="s">
        <v>68</v>
      </c>
      <c r="D22" s="22">
        <v>61</v>
      </c>
      <c r="E22" s="22">
        <v>75</v>
      </c>
      <c r="F22" s="22">
        <v>0</v>
      </c>
    </row>
    <row r="23" spans="1:6" ht="12.75">
      <c r="A23" s="22">
        <v>60</v>
      </c>
      <c r="B23" s="22">
        <v>100</v>
      </c>
      <c r="C23" s="23" t="s">
        <v>68</v>
      </c>
      <c r="D23" s="22">
        <v>71</v>
      </c>
      <c r="E23" s="22">
        <v>75</v>
      </c>
      <c r="F23" s="22">
        <v>1891</v>
      </c>
    </row>
    <row r="24" spans="1:6" ht="12.75">
      <c r="A24" s="22">
        <v>60</v>
      </c>
      <c r="B24" s="22">
        <v>100</v>
      </c>
      <c r="C24" s="23" t="s">
        <v>69</v>
      </c>
      <c r="D24" s="22">
        <v>71</v>
      </c>
      <c r="E24" s="22">
        <v>75</v>
      </c>
      <c r="F24" s="22">
        <v>2813</v>
      </c>
    </row>
    <row r="25" spans="1:6" ht="12.75">
      <c r="A25" s="22">
        <v>60</v>
      </c>
      <c r="B25" s="22">
        <v>100</v>
      </c>
      <c r="C25" s="23" t="s">
        <v>68</v>
      </c>
      <c r="D25" s="22">
        <v>54</v>
      </c>
      <c r="E25" s="22">
        <v>75</v>
      </c>
      <c r="F25" s="22"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5">
      <selection activeCell="D35" sqref="D35"/>
    </sheetView>
  </sheetViews>
  <sheetFormatPr defaultColWidth="9.140625" defaultRowHeight="12.75"/>
  <cols>
    <col min="1" max="1" width="19.57421875" style="0" bestFit="1" customWidth="1"/>
    <col min="2" max="2" width="17.421875" style="0" bestFit="1" customWidth="1"/>
    <col min="3" max="3" width="19.57421875" style="0" bestFit="1" customWidth="1"/>
    <col min="4" max="4" width="22.28125" style="0" bestFit="1" customWidth="1"/>
    <col min="5" max="5" width="16.8515625" style="0" bestFit="1" customWidth="1"/>
  </cols>
  <sheetData>
    <row r="1" spans="1:5" ht="12.75">
      <c r="A1" s="35" t="s">
        <v>130</v>
      </c>
      <c r="B1" s="34"/>
      <c r="C1" s="35" t="s">
        <v>3</v>
      </c>
      <c r="D1" s="34"/>
      <c r="E1" s="35" t="s">
        <v>127</v>
      </c>
    </row>
    <row r="2" spans="1:6" ht="12.75">
      <c r="A2" s="34" t="s">
        <v>5</v>
      </c>
      <c r="B2" t="s">
        <v>123</v>
      </c>
      <c r="C2" s="34" t="s">
        <v>5</v>
      </c>
      <c r="D2" s="34" t="s">
        <v>124</v>
      </c>
      <c r="E2" s="34" t="s">
        <v>5</v>
      </c>
      <c r="F2" t="s">
        <v>125</v>
      </c>
    </row>
    <row r="3" spans="1:6" ht="12.75">
      <c r="A3" s="34" t="s">
        <v>6</v>
      </c>
      <c r="B3" t="s">
        <v>123</v>
      </c>
      <c r="C3" s="34" t="s">
        <v>6</v>
      </c>
      <c r="D3" s="34" t="s">
        <v>124</v>
      </c>
      <c r="E3" s="34" t="s">
        <v>73</v>
      </c>
      <c r="F3" t="s">
        <v>125</v>
      </c>
    </row>
    <row r="4" spans="1:6" ht="12.75">
      <c r="A4" s="34" t="s">
        <v>7</v>
      </c>
      <c r="B4" t="s">
        <v>123</v>
      </c>
      <c r="C4" s="34" t="s">
        <v>7</v>
      </c>
      <c r="D4" s="34" t="s">
        <v>124</v>
      </c>
      <c r="E4" s="34" t="s">
        <v>6</v>
      </c>
      <c r="F4" t="s">
        <v>125</v>
      </c>
    </row>
    <row r="5" spans="1:6" ht="12.75">
      <c r="A5" s="34" t="s">
        <v>6</v>
      </c>
      <c r="B5" t="s">
        <v>123</v>
      </c>
      <c r="C5" s="34" t="s">
        <v>6</v>
      </c>
      <c r="D5" s="34" t="s">
        <v>124</v>
      </c>
      <c r="E5" s="34" t="s">
        <v>75</v>
      </c>
      <c r="F5" t="s">
        <v>125</v>
      </c>
    </row>
    <row r="6" spans="1:6" ht="12.75">
      <c r="A6" s="34" t="s">
        <v>8</v>
      </c>
      <c r="C6" s="34" t="s">
        <v>8</v>
      </c>
      <c r="D6" s="34"/>
      <c r="E6" s="34" t="s">
        <v>6</v>
      </c>
      <c r="F6" t="s">
        <v>125</v>
      </c>
    </row>
    <row r="7" spans="1:6" ht="12.75">
      <c r="A7" s="34" t="s">
        <v>6</v>
      </c>
      <c r="C7" s="34" t="s">
        <v>6</v>
      </c>
      <c r="D7" s="34"/>
      <c r="E7" s="34" t="s">
        <v>76</v>
      </c>
      <c r="F7" t="s">
        <v>126</v>
      </c>
    </row>
    <row r="8" spans="1:6" ht="12.75">
      <c r="A8" s="34" t="s">
        <v>13</v>
      </c>
      <c r="C8" s="34" t="s">
        <v>13</v>
      </c>
      <c r="D8" s="34"/>
      <c r="E8" s="34" t="s">
        <v>6</v>
      </c>
      <c r="F8" t="s">
        <v>126</v>
      </c>
    </row>
    <row r="9" spans="1:6" ht="12.75">
      <c r="A9" s="34" t="s">
        <v>6</v>
      </c>
      <c r="C9" s="34" t="s">
        <v>6</v>
      </c>
      <c r="D9" s="34"/>
      <c r="E9" s="34" t="s">
        <v>15</v>
      </c>
      <c r="F9" t="s">
        <v>125</v>
      </c>
    </row>
    <row r="10" spans="1:6" ht="12.75">
      <c r="A10" s="34" t="s">
        <v>77</v>
      </c>
      <c r="B10" t="s">
        <v>137</v>
      </c>
      <c r="C10" s="34" t="s">
        <v>9</v>
      </c>
      <c r="D10" s="34"/>
      <c r="E10" s="34" t="s">
        <v>6</v>
      </c>
      <c r="F10" t="s">
        <v>125</v>
      </c>
    </row>
    <row r="11" spans="1:6" ht="12.75">
      <c r="A11" s="34" t="s">
        <v>6</v>
      </c>
      <c r="B11" t="s">
        <v>137</v>
      </c>
      <c r="C11" s="34" t="s">
        <v>10</v>
      </c>
      <c r="D11" s="34"/>
      <c r="E11" s="34" t="s">
        <v>91</v>
      </c>
      <c r="F11" t="s">
        <v>123</v>
      </c>
    </row>
    <row r="12" spans="1:6" ht="12.75">
      <c r="A12" s="34" t="s">
        <v>9</v>
      </c>
      <c r="B12" t="s">
        <v>137</v>
      </c>
      <c r="C12" s="34" t="s">
        <v>6</v>
      </c>
      <c r="D12" s="34"/>
      <c r="E12" t="s">
        <v>6</v>
      </c>
      <c r="F12" t="s">
        <v>123</v>
      </c>
    </row>
    <row r="13" spans="1:6" ht="12.75">
      <c r="A13" s="34" t="s">
        <v>10</v>
      </c>
      <c r="B13" t="s">
        <v>137</v>
      </c>
      <c r="C13" s="34" t="s">
        <v>21</v>
      </c>
      <c r="D13" s="34"/>
      <c r="E13" s="34" t="s">
        <v>112</v>
      </c>
      <c r="F13" t="s">
        <v>128</v>
      </c>
    </row>
    <row r="14" spans="1:6" ht="12.75">
      <c r="A14" s="34" t="s">
        <v>6</v>
      </c>
      <c r="B14" t="s">
        <v>137</v>
      </c>
      <c r="C14" s="34"/>
      <c r="D14" s="33"/>
      <c r="E14" s="34" t="s">
        <v>6</v>
      </c>
      <c r="F14" t="s">
        <v>128</v>
      </c>
    </row>
    <row r="15" spans="1:5" ht="12.75">
      <c r="A15" s="34" t="s">
        <v>21</v>
      </c>
      <c r="B15" t="s">
        <v>137</v>
      </c>
      <c r="C15" s="34"/>
      <c r="D15" s="34"/>
      <c r="E15" s="34"/>
    </row>
    <row r="17" spans="1:5" ht="12.75">
      <c r="A17" s="1" t="s">
        <v>131</v>
      </c>
      <c r="C17" s="35" t="s">
        <v>18</v>
      </c>
      <c r="E17" s="1" t="s">
        <v>129</v>
      </c>
    </row>
    <row r="18" spans="1:6" ht="12.75">
      <c r="A18" t="s">
        <v>133</v>
      </c>
      <c r="B18" t="s">
        <v>142</v>
      </c>
      <c r="C18" s="34" t="s">
        <v>19</v>
      </c>
      <c r="E18" t="s">
        <v>5</v>
      </c>
      <c r="F18" t="s">
        <v>123</v>
      </c>
    </row>
    <row r="19" spans="1:6" ht="12.75">
      <c r="A19" t="s">
        <v>134</v>
      </c>
      <c r="B19" t="s">
        <v>142</v>
      </c>
      <c r="C19" s="34" t="s">
        <v>20</v>
      </c>
      <c r="E19" t="s">
        <v>147</v>
      </c>
      <c r="F19" t="s">
        <v>123</v>
      </c>
    </row>
    <row r="20" spans="1:6" ht="12.75">
      <c r="A20" t="s">
        <v>135</v>
      </c>
      <c r="B20" t="s">
        <v>142</v>
      </c>
      <c r="C20" s="34" t="s">
        <v>6</v>
      </c>
      <c r="E20" t="s">
        <v>6</v>
      </c>
      <c r="F20" t="s">
        <v>123</v>
      </c>
    </row>
    <row r="21" spans="1:3" ht="12.75">
      <c r="A21" t="s">
        <v>134</v>
      </c>
      <c r="B21" t="s">
        <v>142</v>
      </c>
      <c r="C21" s="34" t="s">
        <v>21</v>
      </c>
    </row>
    <row r="22" spans="1:5" ht="12.75">
      <c r="A22" t="s">
        <v>136</v>
      </c>
      <c r="B22" t="s">
        <v>143</v>
      </c>
      <c r="C22" s="34" t="s">
        <v>6</v>
      </c>
      <c r="E22" s="1" t="s">
        <v>148</v>
      </c>
    </row>
    <row r="23" spans="1:5" ht="12.75">
      <c r="A23" t="s">
        <v>138</v>
      </c>
      <c r="B23" t="s">
        <v>143</v>
      </c>
      <c r="C23" s="34" t="s">
        <v>74</v>
      </c>
      <c r="D23" t="s">
        <v>123</v>
      </c>
      <c r="E23" t="s">
        <v>5</v>
      </c>
    </row>
    <row r="24" spans="1:5" ht="12.75">
      <c r="A24" t="s">
        <v>134</v>
      </c>
      <c r="B24" t="s">
        <v>143</v>
      </c>
      <c r="C24" s="34" t="s">
        <v>6</v>
      </c>
      <c r="D24" t="s">
        <v>123</v>
      </c>
      <c r="E24" t="s">
        <v>6</v>
      </c>
    </row>
    <row r="25" spans="1:5" ht="12.75">
      <c r="A25" t="s">
        <v>139</v>
      </c>
      <c r="B25" t="s">
        <v>142</v>
      </c>
      <c r="C25" s="34" t="s">
        <v>22</v>
      </c>
      <c r="D25" t="s">
        <v>132</v>
      </c>
      <c r="E25" t="s">
        <v>7</v>
      </c>
    </row>
    <row r="26" spans="1:5" ht="12.75">
      <c r="A26" t="s">
        <v>140</v>
      </c>
      <c r="B26" t="s">
        <v>142</v>
      </c>
      <c r="C26" s="34" t="s">
        <v>23</v>
      </c>
      <c r="D26" t="s">
        <v>132</v>
      </c>
      <c r="E26" t="s">
        <v>6</v>
      </c>
    </row>
    <row r="27" spans="1:6" ht="12.75">
      <c r="A27" t="s">
        <v>141</v>
      </c>
      <c r="B27" t="s">
        <v>142</v>
      </c>
      <c r="C27" s="34" t="s">
        <v>24</v>
      </c>
      <c r="D27" t="s">
        <v>132</v>
      </c>
      <c r="E27" t="s">
        <v>149</v>
      </c>
      <c r="F27" t="s">
        <v>137</v>
      </c>
    </row>
    <row r="28" spans="1:6" ht="12.75">
      <c r="A28" t="s">
        <v>144</v>
      </c>
      <c r="B28" t="s">
        <v>142</v>
      </c>
      <c r="C28" s="34" t="s">
        <v>6</v>
      </c>
      <c r="D28" t="s">
        <v>132</v>
      </c>
      <c r="E28" t="s">
        <v>6</v>
      </c>
      <c r="F28" t="s">
        <v>137</v>
      </c>
    </row>
    <row r="29" spans="1:6" ht="12.75">
      <c r="A29" t="s">
        <v>145</v>
      </c>
      <c r="B29" t="s">
        <v>142</v>
      </c>
      <c r="C29" s="34" t="s">
        <v>25</v>
      </c>
      <c r="D29" t="s">
        <v>150</v>
      </c>
      <c r="E29" t="s">
        <v>9</v>
      </c>
      <c r="F29" t="s">
        <v>137</v>
      </c>
    </row>
    <row r="30" spans="1:6" ht="12.75">
      <c r="A30" t="s">
        <v>146</v>
      </c>
      <c r="B30" t="s">
        <v>142</v>
      </c>
      <c r="C30" s="34" t="s">
        <v>6</v>
      </c>
      <c r="D30" t="s">
        <v>150</v>
      </c>
      <c r="E30" t="s">
        <v>6</v>
      </c>
      <c r="F30" t="s">
        <v>137</v>
      </c>
    </row>
    <row r="31" spans="1:2" ht="12.75">
      <c r="A31" t="s">
        <v>145</v>
      </c>
      <c r="B31" t="s">
        <v>142</v>
      </c>
    </row>
    <row r="32" ht="12.75">
      <c r="C32" s="1" t="s">
        <v>151</v>
      </c>
    </row>
    <row r="33" spans="3:4" ht="12.75">
      <c r="C33" t="s">
        <v>152</v>
      </c>
      <c r="D33" t="s">
        <v>156</v>
      </c>
    </row>
    <row r="34" spans="3:4" ht="12.75">
      <c r="C34" t="s">
        <v>153</v>
      </c>
      <c r="D34" t="s">
        <v>156</v>
      </c>
    </row>
    <row r="35" ht="12.75">
      <c r="C35" t="s">
        <v>155</v>
      </c>
    </row>
    <row r="36" spans="3:4" ht="12.75">
      <c r="C36" t="s">
        <v>154</v>
      </c>
      <c r="D36" t="s">
        <v>123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Header>&amp;C&amp;12DRAFT U.S. Module Assembly Responsibilities</oddHeader>
    <oddFooter>&amp;CVersion 1.0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5">
      <selection activeCell="E7" sqref="E7"/>
    </sheetView>
  </sheetViews>
  <sheetFormatPr defaultColWidth="9.140625" defaultRowHeight="12.75"/>
  <cols>
    <col min="2" max="2" width="19.57421875" style="0" bestFit="1" customWidth="1"/>
    <col min="3" max="3" width="8.00390625" style="0" bestFit="1" customWidth="1"/>
    <col min="4" max="4" width="19.57421875" style="0" bestFit="1" customWidth="1"/>
    <col min="6" max="6" width="16.8515625" style="0" bestFit="1" customWidth="1"/>
  </cols>
  <sheetData>
    <row r="1" ht="12.75">
      <c r="A1" t="s">
        <v>0</v>
      </c>
    </row>
    <row r="2" ht="12.75">
      <c r="A2" t="s">
        <v>113</v>
      </c>
    </row>
    <row r="4" spans="1:6" ht="12.75">
      <c r="A4" s="2"/>
      <c r="B4" s="3" t="s">
        <v>1</v>
      </c>
      <c r="C4" s="2"/>
      <c r="D4" s="3" t="s">
        <v>3</v>
      </c>
      <c r="E4" s="2"/>
      <c r="F4" s="3" t="s">
        <v>32</v>
      </c>
    </row>
    <row r="5" spans="1:6" ht="15">
      <c r="A5" s="4" t="s">
        <v>11</v>
      </c>
      <c r="B5" s="5" t="s">
        <v>2</v>
      </c>
      <c r="C5" s="8" t="s">
        <v>11</v>
      </c>
      <c r="D5" s="5" t="s">
        <v>2</v>
      </c>
      <c r="E5" s="8" t="s">
        <v>11</v>
      </c>
      <c r="F5" s="5" t="s">
        <v>2</v>
      </c>
    </row>
    <row r="6" spans="1:6" ht="12.75">
      <c r="A6" s="20">
        <v>0.3</v>
      </c>
      <c r="B6" s="6" t="s">
        <v>5</v>
      </c>
      <c r="C6" s="20">
        <v>1</v>
      </c>
      <c r="D6" s="6" t="s">
        <v>5</v>
      </c>
      <c r="E6" s="20">
        <v>0.67</v>
      </c>
      <c r="F6" s="6" t="s">
        <v>5</v>
      </c>
    </row>
    <row r="7" spans="1:6" ht="12.75">
      <c r="A7" s="20">
        <f>Shipping_loss</f>
        <v>0.995</v>
      </c>
      <c r="B7" s="6" t="s">
        <v>6</v>
      </c>
      <c r="C7" s="20">
        <f>Shipping_loss</f>
        <v>0.995</v>
      </c>
      <c r="D7" s="6" t="s">
        <v>6</v>
      </c>
      <c r="E7" s="20">
        <v>0.95</v>
      </c>
      <c r="F7" s="6" t="s">
        <v>14</v>
      </c>
    </row>
    <row r="8" spans="1:6" ht="12.75">
      <c r="A8" s="20">
        <v>0.97</v>
      </c>
      <c r="B8" s="6" t="s">
        <v>7</v>
      </c>
      <c r="C8" s="20">
        <v>0.9</v>
      </c>
      <c r="D8" s="6" t="s">
        <v>7</v>
      </c>
      <c r="E8" s="20">
        <f>Shipping_loss</f>
        <v>0.995</v>
      </c>
      <c r="F8" s="6" t="s">
        <v>6</v>
      </c>
    </row>
    <row r="9" spans="1:6" ht="12.75">
      <c r="A9" s="20">
        <f>Shipping_loss</f>
        <v>0.995</v>
      </c>
      <c r="B9" s="6" t="s">
        <v>6</v>
      </c>
      <c r="C9" s="20">
        <f>Shipping_loss</f>
        <v>0.995</v>
      </c>
      <c r="D9" s="6" t="s">
        <v>6</v>
      </c>
      <c r="E9" s="24">
        <v>0.95</v>
      </c>
      <c r="F9" s="6" t="s">
        <v>7</v>
      </c>
    </row>
    <row r="10" spans="1:6" ht="12.75">
      <c r="A10" s="20">
        <v>0.97</v>
      </c>
      <c r="B10" s="6" t="s">
        <v>8</v>
      </c>
      <c r="C10" s="20">
        <v>0.97</v>
      </c>
      <c r="D10" s="6" t="s">
        <v>8</v>
      </c>
      <c r="E10" s="20">
        <f>Shipping_loss</f>
        <v>0.995</v>
      </c>
      <c r="F10" s="6" t="s">
        <v>6</v>
      </c>
    </row>
    <row r="11" spans="1:6" ht="12.75">
      <c r="A11" s="20">
        <f>Shipping_loss</f>
        <v>0.995</v>
      </c>
      <c r="B11" s="6" t="s">
        <v>6</v>
      </c>
      <c r="C11" s="21">
        <f>Shipping_loss</f>
        <v>0.995</v>
      </c>
      <c r="D11" t="s">
        <v>6</v>
      </c>
      <c r="E11" s="20"/>
      <c r="F11" s="6"/>
    </row>
    <row r="12" spans="1:6" ht="12.75">
      <c r="A12" s="20">
        <v>0.995</v>
      </c>
      <c r="B12" s="6" t="s">
        <v>13</v>
      </c>
      <c r="C12" s="21">
        <f>A12^16</f>
        <v>0.9229311239742364</v>
      </c>
      <c r="D12" s="6" t="s">
        <v>13</v>
      </c>
      <c r="E12" s="9"/>
      <c r="F12" s="6"/>
    </row>
    <row r="13" spans="1:6" ht="12.75">
      <c r="A13" s="20">
        <f>Shipping_loss</f>
        <v>0.995</v>
      </c>
      <c r="B13" s="6" t="s">
        <v>6</v>
      </c>
      <c r="C13" s="21">
        <f>Shipping_loss</f>
        <v>0.995</v>
      </c>
      <c r="D13" s="6" t="s">
        <v>6</v>
      </c>
      <c r="E13" s="9"/>
      <c r="F13" s="6"/>
    </row>
    <row r="14" spans="1:6" ht="12.75">
      <c r="A14" s="20">
        <v>0.95</v>
      </c>
      <c r="B14" s="6" t="s">
        <v>77</v>
      </c>
      <c r="C14" s="21">
        <v>0.97</v>
      </c>
      <c r="D14" s="6" t="s">
        <v>9</v>
      </c>
      <c r="E14" s="9"/>
      <c r="F14" s="6"/>
    </row>
    <row r="15" spans="1:6" ht="12.75">
      <c r="A15" s="20">
        <f>Shipping_loss</f>
        <v>0.995</v>
      </c>
      <c r="B15" s="6" t="s">
        <v>6</v>
      </c>
      <c r="C15" s="21">
        <v>0.99</v>
      </c>
      <c r="D15" s="6" t="s">
        <v>10</v>
      </c>
      <c r="E15" s="9"/>
      <c r="F15" s="6"/>
    </row>
    <row r="16" spans="1:6" ht="12.75">
      <c r="A16" s="20">
        <v>0.97</v>
      </c>
      <c r="B16" s="6" t="s">
        <v>9</v>
      </c>
      <c r="C16" s="21">
        <f>Shipping_loss</f>
        <v>0.995</v>
      </c>
      <c r="D16" s="6" t="s">
        <v>6</v>
      </c>
      <c r="E16" s="9"/>
      <c r="F16" s="6"/>
    </row>
    <row r="17" spans="1:6" ht="12.75">
      <c r="A17" s="20">
        <v>0.97</v>
      </c>
      <c r="B17" s="6" t="s">
        <v>10</v>
      </c>
      <c r="C17" s="20">
        <v>0.99</v>
      </c>
      <c r="D17" s="6" t="s">
        <v>21</v>
      </c>
      <c r="E17" s="9"/>
      <c r="F17" s="6"/>
    </row>
    <row r="18" spans="1:6" ht="12.75">
      <c r="A18" s="20">
        <f>Shipping_loss</f>
        <v>0.995</v>
      </c>
      <c r="B18" s="6" t="s">
        <v>6</v>
      </c>
      <c r="C18" s="15"/>
      <c r="D18" s="6"/>
      <c r="E18" s="15"/>
      <c r="F18" s="6"/>
    </row>
    <row r="19" spans="1:6" ht="12.75">
      <c r="A19" s="20">
        <v>0.99</v>
      </c>
      <c r="B19" s="6" t="s">
        <v>21</v>
      </c>
      <c r="C19" s="9"/>
      <c r="D19" s="6"/>
      <c r="E19" s="9"/>
      <c r="F19" s="6"/>
    </row>
    <row r="20" spans="1:6" ht="12.75">
      <c r="A20" s="16" t="s">
        <v>11</v>
      </c>
      <c r="B20" s="17">
        <f>PRODUCT(A6:A19)</f>
        <v>0.24117292847358907</v>
      </c>
      <c r="C20" s="9"/>
      <c r="D20" s="17">
        <f>PRODUCT(C6:C17)</f>
        <v>0.7470351944048749</v>
      </c>
      <c r="E20" s="9"/>
      <c r="F20" s="17">
        <f>PRODUCT(E6:E16)</f>
        <v>0.5986433668749999</v>
      </c>
    </row>
    <row r="21" spans="1:6" ht="12.75">
      <c r="A21" s="18"/>
      <c r="B21" s="7" t="s">
        <v>16</v>
      </c>
      <c r="C21" s="10"/>
      <c r="D21" s="7" t="s">
        <v>17</v>
      </c>
      <c r="E21" s="10"/>
      <c r="F21" s="7" t="s">
        <v>114</v>
      </c>
    </row>
    <row r="22" ht="12.75">
      <c r="A22" s="19"/>
    </row>
    <row r="23" spans="1:4" ht="12.75">
      <c r="A23" s="19"/>
      <c r="C23" s="11" t="s">
        <v>11</v>
      </c>
      <c r="D23" s="3" t="s">
        <v>18</v>
      </c>
    </row>
    <row r="24" spans="1:4" ht="12.75">
      <c r="A24" s="19"/>
      <c r="C24" s="20">
        <v>0.99</v>
      </c>
      <c r="D24" s="6" t="s">
        <v>19</v>
      </c>
    </row>
    <row r="25" spans="1:4" ht="12.75">
      <c r="A25" s="19"/>
      <c r="C25" s="20">
        <f>C24^18</f>
        <v>0.8345137614500874</v>
      </c>
      <c r="D25" s="6" t="s">
        <v>20</v>
      </c>
    </row>
    <row r="26" spans="1:4" ht="12.75">
      <c r="A26" s="19"/>
      <c r="C26" s="20">
        <f>Shipping_loss</f>
        <v>0.995</v>
      </c>
      <c r="D26" s="6" t="s">
        <v>6</v>
      </c>
    </row>
    <row r="27" spans="1:4" ht="12.75">
      <c r="A27" s="19"/>
      <c r="C27" s="20">
        <v>0.99</v>
      </c>
      <c r="D27" s="6" t="s">
        <v>74</v>
      </c>
    </row>
    <row r="28" spans="1:4" ht="12.75">
      <c r="A28" s="19"/>
      <c r="C28" s="20">
        <f>Shipping_loss</f>
        <v>0.995</v>
      </c>
      <c r="D28" s="6" t="s">
        <v>6</v>
      </c>
    </row>
    <row r="29" spans="1:4" ht="12.75">
      <c r="A29" s="19"/>
      <c r="C29" s="20">
        <v>0.98</v>
      </c>
      <c r="D29" s="6" t="s">
        <v>24</v>
      </c>
    </row>
    <row r="30" spans="1:4" ht="12.75">
      <c r="A30" s="19"/>
      <c r="C30" s="20">
        <v>0.95</v>
      </c>
      <c r="D30" s="6" t="s">
        <v>25</v>
      </c>
    </row>
    <row r="31" spans="1:4" ht="12.75">
      <c r="A31" s="19"/>
      <c r="C31" s="20">
        <f>Shipping_loss</f>
        <v>0.995</v>
      </c>
      <c r="D31" s="6" t="s">
        <v>6</v>
      </c>
    </row>
    <row r="32" spans="1:4" ht="12.75">
      <c r="A32" s="19"/>
      <c r="C32" s="9"/>
      <c r="D32" s="6"/>
    </row>
    <row r="33" spans="1:4" ht="12.75">
      <c r="A33" s="19"/>
      <c r="C33" s="9"/>
      <c r="D33" s="17">
        <f>PRODUCT(C24:C31)</f>
        <v>0.7501063036874742</v>
      </c>
    </row>
    <row r="34" spans="1:4" ht="12.75">
      <c r="A34" s="19"/>
      <c r="C34" s="12"/>
      <c r="D34" s="7" t="s">
        <v>26</v>
      </c>
    </row>
    <row r="35" ht="12.75">
      <c r="A35" s="19"/>
    </row>
    <row r="36" spans="1:2" ht="12.75">
      <c r="A36" s="29">
        <v>0.995</v>
      </c>
      <c r="B36" t="s">
        <v>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5">
      <selection activeCell="E14" sqref="E14"/>
    </sheetView>
  </sheetViews>
  <sheetFormatPr defaultColWidth="9.140625" defaultRowHeight="12.75"/>
  <cols>
    <col min="1" max="1" width="21.8515625" style="0" bestFit="1" customWidth="1"/>
    <col min="3" max="3" width="8.7109375" style="0" bestFit="1" customWidth="1"/>
  </cols>
  <sheetData>
    <row r="1" ht="12.75">
      <c r="A1" t="s">
        <v>27</v>
      </c>
    </row>
    <row r="2" ht="12.75">
      <c r="A2" t="s">
        <v>113</v>
      </c>
    </row>
    <row r="4" spans="1:2" ht="12.75">
      <c r="A4" t="s">
        <v>28</v>
      </c>
      <c r="B4">
        <v>2228</v>
      </c>
    </row>
    <row r="5" spans="1:2" ht="12.75">
      <c r="A5" t="s">
        <v>29</v>
      </c>
      <c r="B5">
        <f>B4*16</f>
        <v>35648</v>
      </c>
    </row>
    <row r="6" spans="1:2" ht="12.75">
      <c r="A6" t="s">
        <v>30</v>
      </c>
      <c r="B6">
        <v>90</v>
      </c>
    </row>
    <row r="7" spans="1:3" ht="12.75">
      <c r="A7" t="s">
        <v>31</v>
      </c>
      <c r="B7">
        <v>3</v>
      </c>
      <c r="C7">
        <v>3</v>
      </c>
    </row>
    <row r="9" spans="2:7" ht="12.75">
      <c r="B9" s="1" t="s">
        <v>4</v>
      </c>
      <c r="C9" s="1" t="s">
        <v>37</v>
      </c>
      <c r="D9" s="14" t="s">
        <v>38</v>
      </c>
      <c r="E9" s="1" t="s">
        <v>32</v>
      </c>
      <c r="F9" s="1" t="s">
        <v>37</v>
      </c>
      <c r="G9" s="14" t="s">
        <v>38</v>
      </c>
    </row>
    <row r="10" spans="1:5" ht="12.75">
      <c r="A10" t="s">
        <v>33</v>
      </c>
      <c r="B10" s="13" t="e">
        <f>B4/Flex!#REF!</f>
        <v>#REF!</v>
      </c>
      <c r="E10" s="13">
        <f>B4/'MCM-D'!D33</f>
        <v>2970.2456692435403</v>
      </c>
    </row>
    <row r="11" spans="1:5" ht="12.75">
      <c r="A11" t="s">
        <v>34</v>
      </c>
      <c r="B11" s="13" t="e">
        <f>B10*16/Flex!#REF!</f>
        <v>#REF!</v>
      </c>
      <c r="E11" s="13">
        <f>(E10*16)/'MCM-D'!B20</f>
        <v>197053.33848488308</v>
      </c>
    </row>
    <row r="12" spans="1:7" ht="12.75">
      <c r="A12" t="s">
        <v>35</v>
      </c>
      <c r="B12" s="13" t="e">
        <f>B11/B6</f>
        <v>#REF!</v>
      </c>
      <c r="C12" s="13" t="e">
        <f>MAX(6242-(B12-1200)*ICwafer,H24)</f>
        <v>#REF!</v>
      </c>
      <c r="D12" s="13" t="e">
        <f aca="true" t="shared" si="0" ref="D12:D17">B12*C12/1000</f>
        <v>#REF!</v>
      </c>
      <c r="E12" s="13">
        <f>E11/B6</f>
        <v>2189.4815387209233</v>
      </c>
      <c r="F12" s="13">
        <f>MAX(6242-(E12-1200)*ICwafer,H24)</f>
        <v>5000</v>
      </c>
      <c r="G12" s="13">
        <f aca="true" t="shared" si="1" ref="G12:G17">E12*F12/1000</f>
        <v>10947.407693604617</v>
      </c>
    </row>
    <row r="13" spans="1:7" ht="12.75">
      <c r="A13" t="s">
        <v>36</v>
      </c>
      <c r="B13" s="13" t="e">
        <f>(B10/B7)/Flex!#REF!</f>
        <v>#REF!</v>
      </c>
      <c r="C13" s="13" t="e">
        <f>MAX(1150-(B13-1200)*Detwafer,H25)</f>
        <v>#REF!</v>
      </c>
      <c r="D13" s="13" t="e">
        <f t="shared" si="0"/>
        <v>#REF!</v>
      </c>
      <c r="E13" s="13">
        <f>(E14/'MCM-D'!D20)/C7</f>
        <v>2213.9197727449196</v>
      </c>
      <c r="F13" s="13">
        <f>MAX(1150-(E13-1200)*Detwafer,H25)</f>
        <v>1000</v>
      </c>
      <c r="G13" s="13">
        <f t="shared" si="1"/>
        <v>2213.9197727449196</v>
      </c>
    </row>
    <row r="14" spans="1:7" ht="12.75">
      <c r="A14" t="s">
        <v>42</v>
      </c>
      <c r="B14" s="13" t="e">
        <f>B10/Flex!#REF!</f>
        <v>#REF!</v>
      </c>
      <c r="C14">
        <v>100</v>
      </c>
      <c r="D14" s="13" t="e">
        <f t="shared" si="0"/>
        <v>#REF!</v>
      </c>
      <c r="E14" s="13">
        <f>E10/'MCM-D'!F20</f>
        <v>4961.627963487892</v>
      </c>
      <c r="F14">
        <v>450</v>
      </c>
      <c r="G14" s="13">
        <f t="shared" si="1"/>
        <v>2232.7325835695515</v>
      </c>
    </row>
    <row r="15" spans="1:7" ht="12.75">
      <c r="A15" t="s">
        <v>120</v>
      </c>
      <c r="B15" s="13" t="e">
        <f>B10</f>
        <v>#REF!</v>
      </c>
      <c r="C15">
        <f>16*28</f>
        <v>448</v>
      </c>
      <c r="D15" s="13" t="e">
        <f t="shared" si="0"/>
        <v>#REF!</v>
      </c>
      <c r="E15" s="13">
        <f>E10</f>
        <v>2970.2456692435403</v>
      </c>
      <c r="F15">
        <f>16*28</f>
        <v>448</v>
      </c>
      <c r="G15" s="13">
        <f t="shared" si="1"/>
        <v>1330.670059821106</v>
      </c>
    </row>
    <row r="16" spans="1:7" ht="12.75">
      <c r="A16" t="s">
        <v>39</v>
      </c>
      <c r="B16" s="13" t="e">
        <f>B12</f>
        <v>#REF!</v>
      </c>
      <c r="C16" s="13" t="e">
        <f>MAX(690-(B16-1200)*BumpIC,H26)</f>
        <v>#REF!</v>
      </c>
      <c r="D16" s="13" t="e">
        <f t="shared" si="0"/>
        <v>#REF!</v>
      </c>
      <c r="E16" s="13">
        <f>E12</f>
        <v>2189.4815387209233</v>
      </c>
      <c r="F16" s="13">
        <f>MAX(690-(E16-1200)*BumpIC,H26)</f>
        <v>454.99813455378074</v>
      </c>
      <c r="G16" s="13">
        <f t="shared" si="1"/>
        <v>996.2100157579615</v>
      </c>
    </row>
    <row r="17" spans="1:7" ht="12.75">
      <c r="A17" t="s">
        <v>40</v>
      </c>
      <c r="B17" s="13" t="e">
        <f>B13</f>
        <v>#REF!</v>
      </c>
      <c r="C17" s="13" t="e">
        <f>MAX(460-(B17-1200)*BumpDet,H27)</f>
        <v>#REF!</v>
      </c>
      <c r="D17" s="13" t="e">
        <f t="shared" si="0"/>
        <v>#REF!</v>
      </c>
      <c r="E17" s="13">
        <f>E13</f>
        <v>2213.9197727449196</v>
      </c>
      <c r="F17" s="13">
        <v>0</v>
      </c>
      <c r="G17" s="13">
        <f t="shared" si="1"/>
        <v>0</v>
      </c>
    </row>
    <row r="19" spans="2:7" ht="12.75">
      <c r="B19" t="s">
        <v>41</v>
      </c>
      <c r="D19" s="13" t="e">
        <f>SUM(D12:D17)</f>
        <v>#REF!</v>
      </c>
      <c r="G19" s="13">
        <f>SUM(G12:G17)</f>
        <v>17720.940125498157</v>
      </c>
    </row>
    <row r="21" spans="2:6" ht="12.75">
      <c r="B21" t="s">
        <v>115</v>
      </c>
      <c r="E21" s="13" t="e">
        <f>G19-D19</f>
        <v>#REF!</v>
      </c>
      <c r="F21" t="s">
        <v>43</v>
      </c>
    </row>
    <row r="24" spans="1:8" ht="12.75">
      <c r="A24" t="s">
        <v>55</v>
      </c>
      <c r="F24">
        <v>2.06</v>
      </c>
      <c r="G24" t="s">
        <v>70</v>
      </c>
      <c r="H24">
        <v>5000</v>
      </c>
    </row>
    <row r="25" spans="1:8" ht="12.75">
      <c r="A25" t="s">
        <v>56</v>
      </c>
      <c r="F25">
        <v>0.35</v>
      </c>
      <c r="G25" t="s">
        <v>70</v>
      </c>
      <c r="H25">
        <v>1000</v>
      </c>
    </row>
    <row r="26" spans="1:8" ht="12.75">
      <c r="A26" t="s">
        <v>57</v>
      </c>
      <c r="F26">
        <v>0.2375</v>
      </c>
      <c r="G26" t="s">
        <v>70</v>
      </c>
      <c r="H26">
        <v>400</v>
      </c>
    </row>
    <row r="27" spans="1:8" ht="12.75">
      <c r="A27" t="s">
        <v>58</v>
      </c>
      <c r="F27">
        <v>0.075</v>
      </c>
      <c r="G27" t="s">
        <v>70</v>
      </c>
      <c r="H27">
        <v>300</v>
      </c>
    </row>
    <row r="28" ht="12.75">
      <c r="A28" t="s">
        <v>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3">
      <selection activeCell="E19" sqref="E19"/>
    </sheetView>
  </sheetViews>
  <sheetFormatPr defaultColWidth="9.140625" defaultRowHeight="12.75"/>
  <cols>
    <col min="1" max="1" width="16.7109375" style="0" customWidth="1"/>
    <col min="2" max="2" width="12.421875" style="0" customWidth="1"/>
    <col min="6" max="6" width="50.28125" style="0" customWidth="1"/>
  </cols>
  <sheetData>
    <row r="1" ht="12.75">
      <c r="A1" t="s">
        <v>78</v>
      </c>
    </row>
    <row r="2" ht="12.75">
      <c r="A2" t="s">
        <v>79</v>
      </c>
    </row>
    <row r="4" spans="1:6" s="1" customFormat="1" ht="12.75">
      <c r="A4" s="1" t="s">
        <v>2</v>
      </c>
      <c r="B4" s="1" t="s">
        <v>80</v>
      </c>
      <c r="C4" s="1" t="s">
        <v>81</v>
      </c>
      <c r="D4" s="1" t="s">
        <v>82</v>
      </c>
      <c r="E4" s="1" t="s">
        <v>83</v>
      </c>
      <c r="F4" s="1" t="s">
        <v>84</v>
      </c>
    </row>
    <row r="5" spans="1:6" ht="12.75">
      <c r="A5" t="s">
        <v>85</v>
      </c>
      <c r="B5" s="13">
        <v>2</v>
      </c>
      <c r="C5" s="25"/>
      <c r="D5" s="25">
        <v>13.4</v>
      </c>
      <c r="E5" s="26">
        <f>B5/60*D5</f>
        <v>0.44666666666666666</v>
      </c>
      <c r="F5" t="s">
        <v>86</v>
      </c>
    </row>
    <row r="6" spans="1:6" ht="12.75">
      <c r="A6" t="s">
        <v>87</v>
      </c>
      <c r="B6" s="13"/>
      <c r="C6" s="25">
        <v>13.4</v>
      </c>
      <c r="D6" s="25"/>
      <c r="E6" s="26">
        <f>C6</f>
        <v>13.4</v>
      </c>
      <c r="F6" t="s">
        <v>88</v>
      </c>
    </row>
    <row r="7" spans="1:5" ht="12.75">
      <c r="A7" t="s">
        <v>15</v>
      </c>
      <c r="B7" s="13">
        <v>60</v>
      </c>
      <c r="C7" s="25"/>
      <c r="D7" s="25">
        <v>13.4</v>
      </c>
      <c r="E7" s="26">
        <f>B7/60*D7</f>
        <v>13.4</v>
      </c>
    </row>
    <row r="8" spans="1:6" ht="12.75">
      <c r="A8" t="s">
        <v>87</v>
      </c>
      <c r="B8" s="13">
        <v>5</v>
      </c>
      <c r="C8" s="25"/>
      <c r="D8" s="25">
        <v>13.4</v>
      </c>
      <c r="E8" s="26">
        <f>B8/60*D8</f>
        <v>1.1166666666666667</v>
      </c>
      <c r="F8" t="s">
        <v>89</v>
      </c>
    </row>
    <row r="9" spans="1:5" ht="12.75">
      <c r="A9" t="s">
        <v>90</v>
      </c>
      <c r="B9" s="13">
        <v>30</v>
      </c>
      <c r="C9" s="25"/>
      <c r="D9" s="25">
        <v>13.4</v>
      </c>
      <c r="E9" s="26">
        <f>B9/60*D9</f>
        <v>6.7</v>
      </c>
    </row>
    <row r="10" spans="1:6" ht="12.75">
      <c r="A10" t="s">
        <v>91</v>
      </c>
      <c r="B10" s="13"/>
      <c r="C10" s="25">
        <v>0.134</v>
      </c>
      <c r="D10" s="25"/>
      <c r="E10" s="26">
        <f>C10*(23*16+84)</f>
        <v>60.568000000000005</v>
      </c>
      <c r="F10" t="s">
        <v>92</v>
      </c>
    </row>
    <row r="11" spans="1:5" ht="12.75">
      <c r="A11" t="s">
        <v>93</v>
      </c>
      <c r="B11" s="13">
        <v>30</v>
      </c>
      <c r="C11" s="25"/>
      <c r="D11" s="25">
        <v>13.4</v>
      </c>
      <c r="E11" s="26">
        <f>B11/60*D11</f>
        <v>6.7</v>
      </c>
    </row>
    <row r="12" spans="1:5" ht="12.75">
      <c r="A12" t="s">
        <v>94</v>
      </c>
      <c r="B12" s="13">
        <v>30</v>
      </c>
      <c r="C12" s="25"/>
      <c r="D12" s="25">
        <v>13.4</v>
      </c>
      <c r="E12" s="26">
        <f>B12/60*D12</f>
        <v>6.7</v>
      </c>
    </row>
    <row r="13" spans="1:6" ht="12.75">
      <c r="A13" t="s">
        <v>95</v>
      </c>
      <c r="B13" s="13">
        <v>20</v>
      </c>
      <c r="C13" s="25"/>
      <c r="D13" s="25">
        <v>13.4</v>
      </c>
      <c r="E13" s="26">
        <f>B13/60*D13</f>
        <v>4.466666666666667</v>
      </c>
      <c r="F13" t="s">
        <v>96</v>
      </c>
    </row>
    <row r="14" spans="1:6" ht="12.75">
      <c r="A14" t="s">
        <v>97</v>
      </c>
      <c r="E14" s="26">
        <v>10.4</v>
      </c>
      <c r="F14" t="s">
        <v>98</v>
      </c>
    </row>
    <row r="15" spans="4:5" ht="12.75">
      <c r="D15" t="s">
        <v>99</v>
      </c>
      <c r="E15" s="26">
        <f>SUM(E5:E14)</f>
        <v>123.89800000000002</v>
      </c>
    </row>
    <row r="17" spans="1:5" s="1" customFormat="1" ht="12.75">
      <c r="A17" s="1" t="s">
        <v>100</v>
      </c>
      <c r="B17" s="1" t="s">
        <v>80</v>
      </c>
      <c r="C17" s="1" t="s">
        <v>81</v>
      </c>
      <c r="D17" s="1" t="s">
        <v>82</v>
      </c>
      <c r="E17" s="1" t="s">
        <v>83</v>
      </c>
    </row>
    <row r="18" spans="1:6" ht="12.75">
      <c r="A18" t="s">
        <v>101</v>
      </c>
      <c r="C18">
        <v>270</v>
      </c>
      <c r="E18">
        <v>270</v>
      </c>
      <c r="F18" t="s">
        <v>102</v>
      </c>
    </row>
    <row r="20" spans="1:6" ht="12.75">
      <c r="A20" t="s">
        <v>103</v>
      </c>
      <c r="F20" t="s">
        <v>104</v>
      </c>
    </row>
    <row r="21" spans="1:5" ht="12.75">
      <c r="A21" s="27" t="s">
        <v>105</v>
      </c>
      <c r="B21">
        <v>30</v>
      </c>
      <c r="D21" s="25">
        <v>13.4</v>
      </c>
      <c r="E21" s="26">
        <f>B21/60*D21</f>
        <v>6.7</v>
      </c>
    </row>
    <row r="22" spans="1:5" ht="12.75">
      <c r="A22" s="27" t="s">
        <v>106</v>
      </c>
      <c r="C22">
        <v>53.6</v>
      </c>
      <c r="E22">
        <f>C22</f>
        <v>53.6</v>
      </c>
    </row>
    <row r="23" spans="4:5" ht="12.75">
      <c r="D23" t="s">
        <v>107</v>
      </c>
      <c r="E23" s="26">
        <f>E21+E22</f>
        <v>60.300000000000004</v>
      </c>
    </row>
    <row r="24" spans="4:6" ht="12.75">
      <c r="D24" t="s">
        <v>108</v>
      </c>
      <c r="E24">
        <f>6/40*'Flex Cost'!E23</f>
        <v>9.045</v>
      </c>
      <c r="F24" t="s">
        <v>109</v>
      </c>
    </row>
    <row r="25" spans="4:6" ht="12.75">
      <c r="D25" s="28" t="s">
        <v>110</v>
      </c>
      <c r="E25" s="26">
        <f>SUM(E5:E14)+E18+E21+E24</f>
        <v>409.64300000000003</v>
      </c>
      <c r="F25" t="s">
        <v>111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&amp;C&amp;24Ge Flex Cost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3" sqref="A3:IV3"/>
    </sheetView>
  </sheetViews>
  <sheetFormatPr defaultColWidth="9.140625" defaultRowHeight="12.75"/>
  <cols>
    <col min="1" max="1" width="12.00390625" style="0" bestFit="1" customWidth="1"/>
    <col min="2" max="2" width="15.7109375" style="0" bestFit="1" customWidth="1"/>
    <col min="3" max="3" width="9.28125" style="0" bestFit="1" customWidth="1"/>
    <col min="4" max="4" width="15.7109375" style="0" bestFit="1" customWidth="1"/>
    <col min="5" max="5" width="29.28125" style="0" bestFit="1" customWidth="1"/>
  </cols>
  <sheetData>
    <row r="1" spans="1:5" ht="23.25">
      <c r="A1" s="36" t="s">
        <v>4</v>
      </c>
      <c r="B1" s="36"/>
      <c r="C1" s="36" t="s">
        <v>32</v>
      </c>
      <c r="D1" s="36"/>
      <c r="E1" s="31" t="s">
        <v>118</v>
      </c>
    </row>
    <row r="2" spans="1:5" ht="23.25">
      <c r="A2" s="30" t="s">
        <v>116</v>
      </c>
      <c r="B2" s="30" t="s">
        <v>117</v>
      </c>
      <c r="C2" s="30" t="s">
        <v>116</v>
      </c>
      <c r="D2" s="30" t="s">
        <v>117</v>
      </c>
      <c r="E2" s="31" t="s">
        <v>119</v>
      </c>
    </row>
    <row r="3" spans="1:6" ht="23.25">
      <c r="A3" s="32">
        <v>0.97</v>
      </c>
      <c r="B3" s="31">
        <v>111</v>
      </c>
      <c r="C3" s="32">
        <v>0.6</v>
      </c>
      <c r="D3" s="31">
        <v>450</v>
      </c>
      <c r="E3" s="30">
        <v>1039</v>
      </c>
      <c r="F3" s="31" t="s">
        <v>121</v>
      </c>
    </row>
    <row r="4" spans="1:6" ht="23.25">
      <c r="A4" s="32">
        <v>0.72</v>
      </c>
      <c r="B4" s="31">
        <v>305</v>
      </c>
      <c r="C4" s="32">
        <v>0.6</v>
      </c>
      <c r="D4" s="31">
        <v>450</v>
      </c>
      <c r="E4" s="30">
        <v>77</v>
      </c>
      <c r="F4" s="31" t="s">
        <v>121</v>
      </c>
    </row>
    <row r="5" spans="1:6" ht="23.25">
      <c r="A5" s="32">
        <v>0.97</v>
      </c>
      <c r="B5" s="31">
        <v>111</v>
      </c>
      <c r="C5" s="32">
        <v>0.67</v>
      </c>
      <c r="D5" s="31">
        <v>675</v>
      </c>
      <c r="E5" s="30">
        <v>1475</v>
      </c>
      <c r="F5" s="31" t="s">
        <v>122</v>
      </c>
    </row>
    <row r="6" spans="1:6" ht="23.25">
      <c r="A6" s="32">
        <v>0.72</v>
      </c>
      <c r="B6" s="31">
        <v>305</v>
      </c>
      <c r="C6" s="32">
        <v>0.67</v>
      </c>
      <c r="D6" s="31">
        <v>675</v>
      </c>
      <c r="E6" s="30">
        <v>753</v>
      </c>
      <c r="F6" s="31" t="s">
        <v>122</v>
      </c>
    </row>
  </sheetData>
  <mergeCells count="2">
    <mergeCell ref="A1:B1"/>
    <mergeCell ref="C1:D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cp:lastPrinted>1999-05-24T21:12:56Z</cp:lastPrinted>
  <dcterms:created xsi:type="dcterms:W3CDTF">1998-11-15T05:55:21Z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