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10" windowHeight="10560" activeTab="0"/>
  </bookViews>
  <sheets>
    <sheet name="Results" sheetId="1" r:id="rId1"/>
  </sheets>
  <definedNames>
    <definedName name="NvsASD">"V2001-01-31"</definedName>
    <definedName name="NvsAutoDrillOk">"VY"</definedName>
    <definedName name="NvsElapsedTime">0.000178009264345746</definedName>
    <definedName name="NvsEndTime">36942.4038224537</definedName>
    <definedName name="NvsInstSpec">"%"</definedName>
    <definedName name="NvsLayoutType">"M3"</definedName>
    <definedName name="NvsPanelEffdt">"V1997-01-01"</definedName>
    <definedName name="NvsPanelSetid">"VLBNL"</definedName>
    <definedName name="NvsReqBU">"VLBNL"</definedName>
    <definedName name="NvsReqBUOnly">"VY"</definedName>
    <definedName name="NvsSheetType" localSheetId="0">"M"</definedName>
    <definedName name="NvsTransLed">"VN"</definedName>
    <definedName name="NvsTreeASD">"V2001-01-31"</definedName>
    <definedName name="NvsValTbl.ACCOUNTING_PERIOD">"CAL_DETP_TBL"</definedName>
    <definedName name="NvsValTbl.FISCAL_YEAR">"CAL_DETP_FY_VW"</definedName>
    <definedName name="NvsValTbl.PROJECT_ID">"LBNL_PV_PROJ_VW"</definedName>
    <definedName name="NvsValTbl.PROJECT_STATUS">"LBNL_PV_PROJ_VW"</definedName>
  </definedNames>
  <calcPr fullCalcOnLoad="1"/>
</workbook>
</file>

<file path=xl/sharedStrings.xml><?xml version="1.0" encoding="utf-8"?>
<sst xmlns="http://schemas.openxmlformats.org/spreadsheetml/2006/main" count="206" uniqueCount="151">
  <si>
    <t>%,QnvZW_PC_RU_RC,CSum Resource Amount</t>
  </si>
  <si>
    <t>%,ATF,FPROJECT_ID</t>
  </si>
  <si>
    <t>%,ATT,FLBNL_PROJECT_DESCR</t>
  </si>
  <si>
    <t>%,AFT,FPROJECT_STATUS</t>
  </si>
  <si>
    <t>%,SALLYEAR-1</t>
  </si>
  <si>
    <t>Project ID</t>
  </si>
  <si>
    <t>Project Description</t>
  </si>
  <si>
    <t>Proj Status</t>
  </si>
  <si>
    <t>Prior Year Total Actual Cost</t>
  </si>
  <si>
    <t>Total Funds Available</t>
  </si>
  <si>
    <t>Current YTD Actual</t>
  </si>
  <si>
    <t>Liens</t>
  </si>
  <si>
    <t>% of Budget Spent</t>
  </si>
  <si>
    <t>Funds Available - YTD cost Remaining Balance</t>
  </si>
  <si>
    <t>(Costs + Liens) Balance</t>
  </si>
  <si>
    <t>% spent Actual + liens</t>
  </si>
  <si>
    <t>YTD Monthly Average</t>
  </si>
  <si>
    <t>%,FPROJECT_ID,V414501</t>
  </si>
  <si>
    <t>414501</t>
  </si>
  <si>
    <t>%,FPROJECT_ID,V414590</t>
  </si>
  <si>
    <t>414590</t>
  </si>
  <si>
    <t>%,FPROJECT_ID,V413045</t>
  </si>
  <si>
    <t>413045</t>
  </si>
  <si>
    <t>%,FPROJECT_ID,V413046</t>
  </si>
  <si>
    <t>413046</t>
  </si>
  <si>
    <t>%,FPROJECT_ID,V4180</t>
  </si>
  <si>
    <t>4180</t>
  </si>
  <si>
    <t>%,FPROJECT_ID,V423045</t>
  </si>
  <si>
    <t>423045</t>
  </si>
  <si>
    <t>%,FPROJECT_ID,V423046</t>
  </si>
  <si>
    <t>423046</t>
  </si>
  <si>
    <t>%,FPROJECT_ID,V791627</t>
  </si>
  <si>
    <t>791627</t>
  </si>
  <si>
    <t>%,FPROJECT_ID,V791650</t>
  </si>
  <si>
    <t>791650</t>
  </si>
  <si>
    <t>sum 7916</t>
  </si>
  <si>
    <t>subotal PHYSICS LBL</t>
  </si>
  <si>
    <t>%,FPROJECT_ID,VP1AC</t>
  </si>
  <si>
    <t>%,FPROJECT_ID,VP1AP</t>
  </si>
  <si>
    <t>%,FPROJECT_ID,VP1AP12</t>
  </si>
  <si>
    <t>%,FPROJECT_ID,VP1AP13</t>
  </si>
  <si>
    <t>%,FPROJECT_ID,VP1AP2</t>
  </si>
  <si>
    <t>%,FPROJECT_ID,VP1AP21</t>
  </si>
  <si>
    <t>%,FPROJECT_ID,VP1AP22</t>
  </si>
  <si>
    <t>%,FPROJECT_ID,VP1AP23</t>
  </si>
  <si>
    <t>%,FPROJECT_ID,VP1AP3</t>
  </si>
  <si>
    <t>%,FPROJECT_ID,VP1AP31</t>
  </si>
  <si>
    <t>%,FPROJECT_ID,VP1AP32</t>
  </si>
  <si>
    <t>%,FPROJECT_ID,VP1AP33</t>
  </si>
  <si>
    <t>%,FPROJECT_ID,VP1AP4</t>
  </si>
  <si>
    <t>%,FPROJECT_ID,VP1AP41</t>
  </si>
  <si>
    <t>%,FPROJECT_ID,VP1AP42</t>
  </si>
  <si>
    <t>%,FPROJECT_ID,VP1AS</t>
  </si>
  <si>
    <t>%,FPROJECT_ID,VP1AS1</t>
  </si>
  <si>
    <t>%,FPROJECT_ID,VP1AS11</t>
  </si>
  <si>
    <t>%,FPROJECT_ID,VP1AS12</t>
  </si>
  <si>
    <t>%,FPROJECT_ID,VP1AS13</t>
  </si>
  <si>
    <t>%,FPROJECT_ID,VP1AS2</t>
  </si>
  <si>
    <t>%,FPROJECT_ID,VP1AS21</t>
  </si>
  <si>
    <t>%,FPROJECT_ID,VP1AS22</t>
  </si>
  <si>
    <t>%,FPROJECT_ID,VP1AS3</t>
  </si>
  <si>
    <t>%,FPROJECT_ID,VP1AS31</t>
  </si>
  <si>
    <t>%,FPROJECT_ID,VP1AS32</t>
  </si>
  <si>
    <t>%,FPROJECT_ID,VP1AS33</t>
  </si>
  <si>
    <t>Grand Total</t>
  </si>
  <si>
    <t>carryover funding</t>
  </si>
  <si>
    <t>%,FPROJECT_ID,V414502</t>
  </si>
  <si>
    <t>414502</t>
  </si>
  <si>
    <t>%,FPROJECT_ID,VP1AP11,VP1AP00</t>
  </si>
  <si>
    <t>%,FPROJECT_ID,V414592</t>
  </si>
  <si>
    <t>414592</t>
  </si>
  <si>
    <t>%,FPROJECT_ID,VP1AP1,VP1AP00</t>
  </si>
  <si>
    <t>FY01 funding</t>
  </si>
  <si>
    <t>sum ATLAS base</t>
  </si>
  <si>
    <t>sum computing</t>
  </si>
  <si>
    <t>%,FPROJECT_ID,VPHYS50</t>
  </si>
  <si>
    <t>%,QnvZW_PC_RU_RC_CT,CSum YTDAmount,FFISCAL_YEAR,V2001</t>
  </si>
  <si>
    <t>%,QnvZW_PC_RU_RC_CT,CSum Lien Amt,FFISCAL_YEAR,V2001</t>
  </si>
  <si>
    <t>US-Japan</t>
  </si>
  <si>
    <t>%,FPROJECT_ID,V366251</t>
  </si>
  <si>
    <t>366251</t>
  </si>
  <si>
    <t>P1AC</t>
  </si>
  <si>
    <t>ATLAS Silicon Subsystem</t>
  </si>
  <si>
    <t>S</t>
  </si>
  <si>
    <t>P1AP</t>
  </si>
  <si>
    <t>Pixels</t>
  </si>
  <si>
    <t>P1AP1</t>
  </si>
  <si>
    <t>Mechanical and Final</t>
  </si>
  <si>
    <t>O</t>
  </si>
  <si>
    <t>P1AP11</t>
  </si>
  <si>
    <t>Design</t>
  </si>
  <si>
    <t>P1AP12</t>
  </si>
  <si>
    <t>Development</t>
  </si>
  <si>
    <t>P1AP13</t>
  </si>
  <si>
    <t>Disk Production</t>
  </si>
  <si>
    <t>P1AP2</t>
  </si>
  <si>
    <t>Electronics</t>
  </si>
  <si>
    <t>P1AP21</t>
  </si>
  <si>
    <t>Design Engineering</t>
  </si>
  <si>
    <t>P1AP22</t>
  </si>
  <si>
    <t>P1AP23</t>
  </si>
  <si>
    <t>Production</t>
  </si>
  <si>
    <t>P1AP3</t>
  </si>
  <si>
    <t>Module Assy/Test</t>
  </si>
  <si>
    <t>P1AP31</t>
  </si>
  <si>
    <t>P1AP32</t>
  </si>
  <si>
    <t>P1AP33</t>
  </si>
  <si>
    <t>P1AP4</t>
  </si>
  <si>
    <t>Pixel Common Items</t>
  </si>
  <si>
    <t>P1AP41</t>
  </si>
  <si>
    <t>Conventional Cables</t>
  </si>
  <si>
    <t>P1AP42</t>
  </si>
  <si>
    <t>Rod &amp; DCS</t>
  </si>
  <si>
    <t>P1AS</t>
  </si>
  <si>
    <t>Silicon Strip System</t>
  </si>
  <si>
    <t>P1AS1</t>
  </si>
  <si>
    <t>IC Electronics</t>
  </si>
  <si>
    <t>P1AS11</t>
  </si>
  <si>
    <t>P1AS12</t>
  </si>
  <si>
    <t>P1AS13</t>
  </si>
  <si>
    <t>P1AS2</t>
  </si>
  <si>
    <t>Hybrids/Cables/Fanouts</t>
  </si>
  <si>
    <t>P1AS21</t>
  </si>
  <si>
    <t>P1AS22</t>
  </si>
  <si>
    <t>P1AS3</t>
  </si>
  <si>
    <t>Module Assy and Test</t>
  </si>
  <si>
    <t>P1AS31</t>
  </si>
  <si>
    <t>P1AS32</t>
  </si>
  <si>
    <t>P1AS33</t>
  </si>
  <si>
    <t>LHC-GENERAL</t>
  </si>
  <si>
    <t>offsite atlas</t>
  </si>
  <si>
    <t>lhc-effort  physics staff</t>
  </si>
  <si>
    <t>off site effort-atlas</t>
  </si>
  <si>
    <t>ATLAS</t>
  </si>
  <si>
    <t>Physics oversight staff</t>
  </si>
  <si>
    <t>LHC effort</t>
  </si>
  <si>
    <t>offsite effort -atlas</t>
  </si>
  <si>
    <t>Atlas Computing</t>
  </si>
  <si>
    <t>ATLAS computing off-site</t>
  </si>
  <si>
    <t>NEW PIXEL ARCHITECTURE DETECTO</t>
  </si>
  <si>
    <t>LHC SILICON STRIP</t>
  </si>
  <si>
    <t>Modeling of HEP Detectors</t>
  </si>
  <si>
    <t>PHYS50</t>
  </si>
  <si>
    <t>80FZ01</t>
  </si>
  <si>
    <t>LDRD</t>
  </si>
  <si>
    <t>P1AP43</t>
  </si>
  <si>
    <t>campus</t>
  </si>
  <si>
    <t>(can only be used for travel, pos)</t>
  </si>
  <si>
    <t>P1AP5</t>
  </si>
  <si>
    <t>P1AP51</t>
  </si>
  <si>
    <t>P1AP52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</si>
</sst>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"/>
    <numFmt numFmtId="167" formatCode="00"/>
    <numFmt numFmtId="168" formatCode="#,##0.0"/>
    <numFmt numFmtId="169" formatCode="0.0%"/>
    <numFmt numFmtId="170" formatCode="&quot;$&quot;0.0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1"/>
      <name val="AvantGarde"/>
      <family val="2"/>
    </font>
    <font>
      <sz val="11"/>
      <color indexed="8"/>
      <name val="AvantGarde"/>
      <family val="2"/>
    </font>
  </fonts>
  <fills count="7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4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0" fontId="5" fillId="0" borderId="0" xfId="0" applyFont="1" applyBorder="1" applyAlignment="1">
      <alignment horizontal="left"/>
    </xf>
    <xf numFmtId="164" fontId="5" fillId="0" borderId="0" xfId="15" applyNumberFormat="1" applyFont="1" applyFill="1" applyAlignment="1">
      <alignment horizontal="center"/>
    </xf>
    <xf numFmtId="164" fontId="5" fillId="0" borderId="1" xfId="15" applyNumberFormat="1" applyFont="1" applyFill="1" applyBorder="1" applyAlignment="1">
      <alignment horizontal="center"/>
    </xf>
    <xf numFmtId="164" fontId="5" fillId="0" borderId="1" xfId="15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49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Alignment="1">
      <alignment/>
    </xf>
    <xf numFmtId="0" fontId="5" fillId="0" borderId="0" xfId="0" applyFont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0" fontId="5" fillId="0" borderId="1" xfId="0" applyFont="1" applyBorder="1" applyAlignment="1">
      <alignment horizontal="center"/>
    </xf>
    <xf numFmtId="164" fontId="5" fillId="0" borderId="0" xfId="15" applyNumberFormat="1" applyFont="1" applyBorder="1" applyAlignment="1">
      <alignment horizontal="center"/>
    </xf>
    <xf numFmtId="49" fontId="5" fillId="0" borderId="1" xfId="15" applyNumberFormat="1" applyFont="1" applyFill="1" applyBorder="1" applyAlignment="1">
      <alignment horizontal="center" wrapText="1"/>
    </xf>
    <xf numFmtId="164" fontId="5" fillId="0" borderId="0" xfId="15" applyNumberFormat="1" applyFont="1" applyFill="1" applyBorder="1" applyAlignment="1">
      <alignment horizontal="left" wrapText="1"/>
    </xf>
    <xf numFmtId="49" fontId="5" fillId="0" borderId="2" xfId="15" applyNumberFormat="1" applyFont="1" applyFill="1" applyBorder="1" applyAlignment="1">
      <alignment horizontal="left" wrapText="1"/>
    </xf>
    <xf numFmtId="164" fontId="5" fillId="0" borderId="2" xfId="15" applyNumberFormat="1" applyFont="1" applyFill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164" fontId="5" fillId="0" borderId="0" xfId="15" applyNumberFormat="1" applyFont="1" applyFill="1" applyAlignment="1">
      <alignment horizontal="left" wrapText="1"/>
    </xf>
    <xf numFmtId="49" fontId="7" fillId="2" borderId="0" xfId="15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9" fontId="7" fillId="2" borderId="0" xfId="15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38" fontId="0" fillId="0" borderId="2" xfId="0" applyNumberFormat="1" applyFill="1" applyBorder="1" applyAlignment="1">
      <alignment/>
    </xf>
    <xf numFmtId="0" fontId="5" fillId="0" borderId="1" xfId="0" applyFont="1" applyBorder="1" applyAlignment="1">
      <alignment horizontal="center" wrapText="1"/>
    </xf>
    <xf numFmtId="169" fontId="5" fillId="0" borderId="0" xfId="0" applyNumberFormat="1" applyFont="1" applyFill="1" applyBorder="1" applyAlignment="1">
      <alignment horizontal="center" wrapText="1"/>
    </xf>
    <xf numFmtId="38" fontId="5" fillId="0" borderId="2" xfId="0" applyNumberFormat="1" applyFont="1" applyBorder="1" applyAlignment="1">
      <alignment horizontal="left" wrapText="1"/>
    </xf>
    <xf numFmtId="38" fontId="5" fillId="0" borderId="0" xfId="0" applyNumberFormat="1" applyFont="1" applyAlignment="1">
      <alignment horizontal="center"/>
    </xf>
    <xf numFmtId="38" fontId="5" fillId="0" borderId="1" xfId="0" applyNumberFormat="1" applyFont="1" applyBorder="1" applyAlignment="1">
      <alignment horizontal="center" wrapText="1"/>
    </xf>
    <xf numFmtId="38" fontId="5" fillId="0" borderId="0" xfId="0" applyNumberFormat="1" applyFont="1" applyFill="1" applyBorder="1" applyAlignment="1">
      <alignment horizontal="center" wrapText="1"/>
    </xf>
    <xf numFmtId="38" fontId="5" fillId="0" borderId="0" xfId="15" applyNumberFormat="1" applyFont="1" applyBorder="1" applyAlignment="1">
      <alignment horizontal="center"/>
    </xf>
    <xf numFmtId="164" fontId="5" fillId="3" borderId="0" xfId="15" applyNumberFormat="1" applyFont="1" applyFill="1" applyBorder="1" applyAlignment="1">
      <alignment/>
    </xf>
    <xf numFmtId="49" fontId="7" fillId="3" borderId="0" xfId="15" applyNumberFormat="1" applyFont="1" applyFill="1" applyBorder="1" applyAlignment="1">
      <alignment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 wrapText="1"/>
    </xf>
    <xf numFmtId="169" fontId="5" fillId="3" borderId="0" xfId="0" applyNumberFormat="1" applyFont="1" applyFill="1" applyBorder="1" applyAlignment="1">
      <alignment horizontal="center" wrapText="1"/>
    </xf>
    <xf numFmtId="38" fontId="5" fillId="3" borderId="0" xfId="0" applyNumberFormat="1" applyFont="1" applyFill="1" applyBorder="1" applyAlignment="1">
      <alignment horizontal="center" wrapText="1"/>
    </xf>
    <xf numFmtId="0" fontId="0" fillId="3" borderId="0" xfId="0" applyFill="1" applyAlignment="1">
      <alignment/>
    </xf>
    <xf numFmtId="38" fontId="5" fillId="3" borderId="0" xfId="15" applyNumberFormat="1" applyFont="1" applyFill="1" applyBorder="1" applyAlignment="1">
      <alignment horizontal="center"/>
    </xf>
    <xf numFmtId="164" fontId="5" fillId="4" borderId="0" xfId="15" applyNumberFormat="1" applyFont="1" applyFill="1" applyBorder="1" applyAlignment="1">
      <alignment/>
    </xf>
    <xf numFmtId="49" fontId="7" fillId="4" borderId="0" xfId="15" applyNumberFormat="1" applyFont="1" applyFill="1" applyBorder="1" applyAlignment="1">
      <alignment/>
    </xf>
    <xf numFmtId="0" fontId="5" fillId="4" borderId="0" xfId="0" applyFont="1" applyFill="1" applyBorder="1" applyAlignment="1">
      <alignment horizontal="left"/>
    </xf>
    <xf numFmtId="0" fontId="5" fillId="4" borderId="0" xfId="0" applyFont="1" applyFill="1" applyBorder="1" applyAlignment="1">
      <alignment horizontal="center" wrapText="1"/>
    </xf>
    <xf numFmtId="164" fontId="5" fillId="4" borderId="0" xfId="15" applyNumberFormat="1" applyFont="1" applyFill="1" applyBorder="1" applyAlignment="1">
      <alignment horizontal="center"/>
    </xf>
    <xf numFmtId="38" fontId="5" fillId="4" borderId="0" xfId="0" applyNumberFormat="1" applyFont="1" applyFill="1" applyBorder="1" applyAlignment="1">
      <alignment horizontal="center" wrapText="1"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/>
    </xf>
    <xf numFmtId="164" fontId="5" fillId="3" borderId="0" xfId="15" applyNumberFormat="1" applyFont="1" applyFill="1" applyAlignment="1">
      <alignment horizontal="center"/>
    </xf>
    <xf numFmtId="38" fontId="5" fillId="0" borderId="2" xfId="15" applyNumberFormat="1" applyFont="1" applyBorder="1" applyAlignment="1">
      <alignment horizontal="left" wrapText="1"/>
    </xf>
    <xf numFmtId="38" fontId="5" fillId="0" borderId="2" xfId="15" applyNumberFormat="1" applyFont="1" applyFill="1" applyBorder="1" applyAlignment="1">
      <alignment horizontal="left" wrapText="1"/>
    </xf>
    <xf numFmtId="38" fontId="5" fillId="0" borderId="0" xfId="15" applyNumberFormat="1" applyFont="1" applyFill="1" applyBorder="1" applyAlignment="1">
      <alignment horizontal="center"/>
    </xf>
    <xf numFmtId="38" fontId="5" fillId="0" borderId="1" xfId="15" applyNumberFormat="1" applyFont="1" applyBorder="1" applyAlignment="1">
      <alignment horizontal="center" wrapText="1"/>
    </xf>
    <xf numFmtId="38" fontId="5" fillId="0" borderId="1" xfId="15" applyNumberFormat="1" applyFont="1" applyFill="1" applyBorder="1" applyAlignment="1">
      <alignment horizontal="center" wrapText="1"/>
    </xf>
    <xf numFmtId="38" fontId="5" fillId="0" borderId="0" xfId="15" applyNumberFormat="1" applyFont="1" applyFill="1" applyBorder="1" applyAlignment="1">
      <alignment/>
    </xf>
    <xf numFmtId="38" fontId="5" fillId="4" borderId="0" xfId="15" applyNumberFormat="1" applyFont="1" applyFill="1" applyBorder="1" applyAlignment="1">
      <alignment horizontal="center"/>
    </xf>
    <xf numFmtId="38" fontId="5" fillId="5" borderId="0" xfId="15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8" fontId="5" fillId="0" borderId="0" xfId="0" applyNumberFormat="1" applyFont="1" applyFill="1" applyAlignment="1">
      <alignment horizontal="center"/>
    </xf>
    <xf numFmtId="0" fontId="0" fillId="3" borderId="0" xfId="0" applyFill="1" applyBorder="1" applyAlignment="1">
      <alignment/>
    </xf>
    <xf numFmtId="1" fontId="5" fillId="5" borderId="0" xfId="15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9" fontId="5" fillId="6" borderId="0" xfId="0" applyNumberFormat="1" applyFont="1" applyFill="1" applyBorder="1" applyAlignment="1">
      <alignment horizontal="center" wrapText="1"/>
    </xf>
    <xf numFmtId="38" fontId="5" fillId="6" borderId="0" xfId="0" applyNumberFormat="1" applyFont="1" applyFill="1" applyBorder="1" applyAlignment="1">
      <alignment horizontal="center" wrapText="1"/>
    </xf>
    <xf numFmtId="49" fontId="5" fillId="6" borderId="0" xfId="15" applyNumberFormat="1" applyFont="1" applyFill="1" applyBorder="1" applyAlignment="1">
      <alignment/>
    </xf>
    <xf numFmtId="164" fontId="5" fillId="6" borderId="0" xfId="15" applyNumberFormat="1" applyFont="1" applyFill="1" applyAlignment="1">
      <alignment/>
    </xf>
    <xf numFmtId="164" fontId="5" fillId="6" borderId="0" xfId="15" applyNumberFormat="1" applyFont="1" applyFill="1" applyAlignment="1">
      <alignment horizontal="center"/>
    </xf>
    <xf numFmtId="38" fontId="5" fillId="6" borderId="0" xfId="15" applyNumberFormat="1" applyFont="1" applyFill="1" applyBorder="1" applyAlignment="1">
      <alignment horizontal="center"/>
    </xf>
    <xf numFmtId="164" fontId="5" fillId="6" borderId="0" xfId="15" applyNumberFormat="1" applyFont="1" applyFill="1" applyBorder="1" applyAlignment="1">
      <alignment horizontal="center"/>
    </xf>
    <xf numFmtId="164" fontId="5" fillId="6" borderId="0" xfId="15" applyNumberFormat="1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SChar" xfId="20"/>
    <cellStyle name="PSDec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workbookViewId="0" topLeftCell="B2">
      <pane ySplit="1785" topLeftCell="BM2" activePane="bottomLeft" state="split"/>
      <selection pane="topLeft" activeCell="I2" sqref="I1:K16384"/>
      <selection pane="bottomLeft" activeCell="E70" sqref="E70"/>
    </sheetView>
  </sheetViews>
  <sheetFormatPr defaultColWidth="9.140625" defaultRowHeight="12.75"/>
  <cols>
    <col min="1" max="1" width="33.8515625" style="1" hidden="1" customWidth="1"/>
    <col min="2" max="2" width="17.28125" style="8" customWidth="1"/>
    <col min="3" max="3" width="33.421875" style="9" customWidth="1"/>
    <col min="4" max="4" width="5.8515625" style="4" customWidth="1"/>
    <col min="5" max="8" width="10.57421875" style="32" customWidth="1"/>
    <col min="9" max="9" width="10.140625" style="52" customWidth="1"/>
    <col min="10" max="10" width="7.7109375" style="10" customWidth="1"/>
    <col min="11" max="11" width="13.00390625" style="10" customWidth="1"/>
    <col min="12" max="12" width="13.00390625" style="29" customWidth="1"/>
    <col min="13" max="14" width="13.00390625" style="29" hidden="1" customWidth="1"/>
    <col min="15" max="15" width="13.00390625" style="29" customWidth="1"/>
    <col min="16" max="16384" width="9.140625" style="1" customWidth="1"/>
  </cols>
  <sheetData>
    <row r="1" spans="1:15" s="19" customFormat="1" ht="114.75" hidden="1">
      <c r="A1" s="15" t="s">
        <v>0</v>
      </c>
      <c r="B1" s="16" t="s">
        <v>1</v>
      </c>
      <c r="C1" s="17" t="s">
        <v>2</v>
      </c>
      <c r="D1" s="18" t="s">
        <v>3</v>
      </c>
      <c r="E1" s="50" t="s">
        <v>4</v>
      </c>
      <c r="F1" s="50"/>
      <c r="G1" s="50"/>
      <c r="H1" s="50"/>
      <c r="I1" s="51" t="s">
        <v>76</v>
      </c>
      <c r="J1" s="18" t="s">
        <v>77</v>
      </c>
      <c r="K1" s="18"/>
      <c r="L1" s="28"/>
      <c r="M1" s="28"/>
      <c r="N1" s="28"/>
      <c r="O1" s="28"/>
    </row>
    <row r="2" ht="12.75">
      <c r="B2" s="11"/>
    </row>
    <row r="3" spans="2:15" s="5" customFormat="1" ht="63.75">
      <c r="B3" s="14" t="s">
        <v>5</v>
      </c>
      <c r="C3" s="6" t="s">
        <v>6</v>
      </c>
      <c r="D3" s="6" t="s">
        <v>7</v>
      </c>
      <c r="E3" s="53" t="s">
        <v>8</v>
      </c>
      <c r="F3" s="53" t="s">
        <v>65</v>
      </c>
      <c r="G3" s="53" t="s">
        <v>72</v>
      </c>
      <c r="H3" s="53" t="s">
        <v>9</v>
      </c>
      <c r="I3" s="54" t="s">
        <v>10</v>
      </c>
      <c r="J3" s="12" t="s">
        <v>11</v>
      </c>
      <c r="K3" s="26" t="s">
        <v>12</v>
      </c>
      <c r="L3" s="30" t="s">
        <v>13</v>
      </c>
      <c r="M3" s="30" t="s">
        <v>14</v>
      </c>
      <c r="N3" s="30" t="s">
        <v>15</v>
      </c>
      <c r="O3" s="30" t="s">
        <v>16</v>
      </c>
    </row>
    <row r="4" ht="12.75">
      <c r="O4" s="29">
        <v>5</v>
      </c>
    </row>
    <row r="5" spans="1:15" s="2" customFormat="1" ht="16.5">
      <c r="A5" s="2" t="s">
        <v>17</v>
      </c>
      <c r="B5" s="22" t="s">
        <v>18</v>
      </c>
      <c r="C5" s="3" t="s">
        <v>129</v>
      </c>
      <c r="D5" s="7" t="s">
        <v>88</v>
      </c>
      <c r="E5" s="32">
        <v>163300.19</v>
      </c>
      <c r="F5" s="32"/>
      <c r="G5" s="32">
        <v>190000</v>
      </c>
      <c r="H5" s="32"/>
      <c r="I5" s="32">
        <v>86155</v>
      </c>
      <c r="J5" s="13">
        <v>2936</v>
      </c>
      <c r="K5" s="27" t="str">
        <f>+IF(H5&gt;0,I5/H5,"-")</f>
        <v>-</v>
      </c>
      <c r="L5" s="31" t="str">
        <f>+IF(H5&gt;0,H5-I5,"-")</f>
        <v>-</v>
      </c>
      <c r="M5" s="31" t="str">
        <f>+IF(H5&gt;0,H5-(I5=J5),"-")</f>
        <v>-</v>
      </c>
      <c r="N5" s="31" t="str">
        <f>+IF(H5&gt;0,((I5+J5)/H5),"-")</f>
        <v>-</v>
      </c>
      <c r="O5" s="31">
        <f>I5/$O$4</f>
        <v>17231</v>
      </c>
    </row>
    <row r="6" spans="1:15" s="2" customFormat="1" ht="16.5">
      <c r="A6" s="2" t="s">
        <v>19</v>
      </c>
      <c r="B6" s="22" t="s">
        <v>20</v>
      </c>
      <c r="C6" s="3" t="s">
        <v>130</v>
      </c>
      <c r="D6" s="7" t="s">
        <v>88</v>
      </c>
      <c r="E6" s="32">
        <v>213014.32</v>
      </c>
      <c r="F6" s="32"/>
      <c r="G6" s="32"/>
      <c r="H6" s="32"/>
      <c r="I6" s="32">
        <v>74842</v>
      </c>
      <c r="J6" s="13">
        <v>17002</v>
      </c>
      <c r="K6" s="27" t="str">
        <f>+IF(H6&gt;0,I6/H6,"-")</f>
        <v>-</v>
      </c>
      <c r="L6" s="31" t="str">
        <f>+IF(H6&gt;0,H6-I6,"-")</f>
        <v>-</v>
      </c>
      <c r="M6" s="31" t="str">
        <f>+IF(H6&gt;0,H6-(I6=J6),"-")</f>
        <v>-</v>
      </c>
      <c r="N6" s="31" t="str">
        <f>+IF(H6&gt;0,((I6+J6)/H6),"-")</f>
        <v>-</v>
      </c>
      <c r="O6" s="31">
        <f>I6/$O$4</f>
        <v>14968.4</v>
      </c>
    </row>
    <row r="7" spans="1:15" s="2" customFormat="1" ht="16.5">
      <c r="A7" s="2" t="s">
        <v>21</v>
      </c>
      <c r="B7" s="22" t="s">
        <v>22</v>
      </c>
      <c r="C7" s="3" t="s">
        <v>131</v>
      </c>
      <c r="D7" s="7" t="s">
        <v>88</v>
      </c>
      <c r="E7" s="32">
        <v>776799.67</v>
      </c>
      <c r="F7" s="32"/>
      <c r="G7" s="32"/>
      <c r="H7" s="32"/>
      <c r="I7" s="32">
        <v>95019</v>
      </c>
      <c r="J7" s="13"/>
      <c r="K7" s="27" t="str">
        <f aca="true" t="shared" si="0" ref="K7:K13">+IF(H7&gt;0,I7/H7,"-")</f>
        <v>-</v>
      </c>
      <c r="L7" s="31" t="str">
        <f aca="true" t="shared" si="1" ref="L7:L13">+IF(H7&gt;0,H7-I7,"-")</f>
        <v>-</v>
      </c>
      <c r="M7" s="31" t="str">
        <f aca="true" t="shared" si="2" ref="M7:M13">+IF(H7&gt;0,H7-(I7=J7),"-")</f>
        <v>-</v>
      </c>
      <c r="N7" s="31" t="str">
        <f aca="true" t="shared" si="3" ref="N7:N13">+IF(H7&gt;0,((I7+J7)/H7),"-")</f>
        <v>-</v>
      </c>
      <c r="O7" s="31">
        <f>I7/$O$4</f>
        <v>19003.8</v>
      </c>
    </row>
    <row r="8" spans="1:15" s="2" customFormat="1" ht="16.5">
      <c r="A8" s="2" t="s">
        <v>23</v>
      </c>
      <c r="B8" s="22" t="s">
        <v>24</v>
      </c>
      <c r="C8" s="3" t="s">
        <v>132</v>
      </c>
      <c r="D8" s="7" t="s">
        <v>88</v>
      </c>
      <c r="E8" s="32">
        <v>2322.73</v>
      </c>
      <c r="F8" s="32"/>
      <c r="G8" s="32"/>
      <c r="H8" s="32"/>
      <c r="I8" s="32">
        <v>0</v>
      </c>
      <c r="J8" s="13"/>
      <c r="K8" s="27" t="str">
        <f t="shared" si="0"/>
        <v>-</v>
      </c>
      <c r="L8" s="31" t="str">
        <f t="shared" si="1"/>
        <v>-</v>
      </c>
      <c r="M8" s="31" t="str">
        <f t="shared" si="2"/>
        <v>-</v>
      </c>
      <c r="N8" s="31" t="str">
        <f t="shared" si="3"/>
        <v>-</v>
      </c>
      <c r="O8" s="31">
        <f>I8/$O$4</f>
        <v>0</v>
      </c>
    </row>
    <row r="9" spans="1:15" s="2" customFormat="1" ht="16.5">
      <c r="A9" s="2" t="s">
        <v>25</v>
      </c>
      <c r="B9" s="22" t="s">
        <v>26</v>
      </c>
      <c r="C9" s="3" t="s">
        <v>133</v>
      </c>
      <c r="D9" s="7" t="s">
        <v>83</v>
      </c>
      <c r="E9" s="32">
        <v>70427.43</v>
      </c>
      <c r="F9" s="32"/>
      <c r="G9" s="32"/>
      <c r="H9" s="32"/>
      <c r="I9" s="32">
        <v>30228</v>
      </c>
      <c r="J9" s="13"/>
      <c r="K9" s="27" t="str">
        <f t="shared" si="0"/>
        <v>-</v>
      </c>
      <c r="L9" s="31" t="str">
        <f t="shared" si="1"/>
        <v>-</v>
      </c>
      <c r="M9" s="31" t="str">
        <f t="shared" si="2"/>
        <v>-</v>
      </c>
      <c r="N9" s="31" t="str">
        <f t="shared" si="3"/>
        <v>-</v>
      </c>
      <c r="O9" s="31">
        <f>I9/$O$4</f>
        <v>6045.6</v>
      </c>
    </row>
    <row r="10" spans="1:15" s="2" customFormat="1" ht="16.5">
      <c r="A10" s="2" t="s">
        <v>75</v>
      </c>
      <c r="B10" s="22" t="s">
        <v>142</v>
      </c>
      <c r="C10" s="3" t="s">
        <v>134</v>
      </c>
      <c r="D10" s="7" t="s">
        <v>88</v>
      </c>
      <c r="E10" s="32">
        <v>234953.49</v>
      </c>
      <c r="F10" s="32"/>
      <c r="G10" s="32">
        <v>1400000</v>
      </c>
      <c r="H10" s="32"/>
      <c r="I10" s="32">
        <v>433851</v>
      </c>
      <c r="J10" s="13"/>
      <c r="K10" s="27" t="str">
        <f t="shared" si="0"/>
        <v>-</v>
      </c>
      <c r="L10" s="31" t="str">
        <f t="shared" si="1"/>
        <v>-</v>
      </c>
      <c r="M10" s="31" t="str">
        <f t="shared" si="2"/>
        <v>-</v>
      </c>
      <c r="N10" s="31" t="str">
        <f t="shared" si="3"/>
        <v>-</v>
      </c>
      <c r="O10" s="31">
        <f>I10/$O$4</f>
        <v>86770.2</v>
      </c>
    </row>
    <row r="11" spans="1:15" s="2" customFormat="1" ht="16.5">
      <c r="A11" s="2" t="s">
        <v>27</v>
      </c>
      <c r="B11" s="22" t="s">
        <v>28</v>
      </c>
      <c r="C11" s="3" t="s">
        <v>135</v>
      </c>
      <c r="D11" s="7" t="s">
        <v>88</v>
      </c>
      <c r="E11" s="32">
        <v>432315.73</v>
      </c>
      <c r="F11" s="32"/>
      <c r="G11" s="32"/>
      <c r="H11" s="32"/>
      <c r="I11" s="32">
        <v>47787</v>
      </c>
      <c r="J11" s="13"/>
      <c r="K11" s="27" t="str">
        <f t="shared" si="0"/>
        <v>-</v>
      </c>
      <c r="L11" s="31" t="str">
        <f t="shared" si="1"/>
        <v>-</v>
      </c>
      <c r="M11" s="31" t="str">
        <f t="shared" si="2"/>
        <v>-</v>
      </c>
      <c r="N11" s="31" t="str">
        <f t="shared" si="3"/>
        <v>-</v>
      </c>
      <c r="O11" s="31">
        <f>I11/$O$4</f>
        <v>9557.4</v>
      </c>
    </row>
    <row r="12" spans="1:15" s="2" customFormat="1" ht="16.5">
      <c r="A12" s="2" t="s">
        <v>29</v>
      </c>
      <c r="B12" s="22" t="s">
        <v>30</v>
      </c>
      <c r="C12" s="3" t="s">
        <v>136</v>
      </c>
      <c r="D12" s="7" t="s">
        <v>88</v>
      </c>
      <c r="E12" s="32">
        <v>15473.69</v>
      </c>
      <c r="F12" s="32"/>
      <c r="G12" s="32"/>
      <c r="H12" s="32"/>
      <c r="I12" s="32">
        <v>0</v>
      </c>
      <c r="J12" s="13"/>
      <c r="K12" s="27" t="str">
        <f t="shared" si="0"/>
        <v>-</v>
      </c>
      <c r="L12" s="31" t="str">
        <f t="shared" si="1"/>
        <v>-</v>
      </c>
      <c r="M12" s="31" t="str">
        <f t="shared" si="2"/>
        <v>-</v>
      </c>
      <c r="N12" s="31" t="str">
        <f t="shared" si="3"/>
        <v>-</v>
      </c>
      <c r="O12" s="31">
        <f>I12/$O$4</f>
        <v>0</v>
      </c>
    </row>
    <row r="13" spans="2:15" s="33" customFormat="1" ht="16.5">
      <c r="B13" s="34" t="s">
        <v>73</v>
      </c>
      <c r="C13" s="35"/>
      <c r="D13" s="36"/>
      <c r="E13" s="40">
        <f>SUM(E5:E12)</f>
        <v>1908607.25</v>
      </c>
      <c r="F13" s="40">
        <f>SUM(F5:F12)</f>
        <v>0</v>
      </c>
      <c r="G13" s="40">
        <f>SUM(G5:G12)</f>
        <v>1590000</v>
      </c>
      <c r="H13" s="40">
        <f>F13+G13</f>
        <v>1590000</v>
      </c>
      <c r="I13" s="40">
        <f>SUM(I5:I12)</f>
        <v>767882</v>
      </c>
      <c r="J13" s="40">
        <f>SUM(J5:J12)</f>
        <v>19938</v>
      </c>
      <c r="K13" s="37">
        <f t="shared" si="0"/>
        <v>0.4829446540880503</v>
      </c>
      <c r="L13" s="38">
        <f t="shared" si="1"/>
        <v>822118</v>
      </c>
      <c r="M13" s="38">
        <f t="shared" si="2"/>
        <v>1590000</v>
      </c>
      <c r="N13" s="38">
        <f t="shared" si="3"/>
        <v>0.49548427672955975</v>
      </c>
      <c r="O13" s="40">
        <f>SUM(O5:O12)</f>
        <v>153576.4</v>
      </c>
    </row>
    <row r="14" spans="1:15" s="2" customFormat="1" ht="16.5">
      <c r="A14" s="2" t="s">
        <v>66</v>
      </c>
      <c r="B14" s="22" t="s">
        <v>67</v>
      </c>
      <c r="C14" s="3" t="s">
        <v>137</v>
      </c>
      <c r="D14" s="7" t="s">
        <v>88</v>
      </c>
      <c r="E14" s="32">
        <v>319094.7</v>
      </c>
      <c r="F14" s="32"/>
      <c r="G14" s="32">
        <f>360000+280000</f>
        <v>640000</v>
      </c>
      <c r="H14" s="32">
        <f>F14+G14</f>
        <v>640000</v>
      </c>
      <c r="I14" s="32">
        <v>220763</v>
      </c>
      <c r="J14" s="13"/>
      <c r="K14" s="13"/>
      <c r="L14" s="32"/>
      <c r="M14" s="32"/>
      <c r="N14" s="32"/>
      <c r="O14" s="31">
        <f>I14/$O$4</f>
        <v>44152.6</v>
      </c>
    </row>
    <row r="15" spans="1:15" s="2" customFormat="1" ht="16.5">
      <c r="A15" s="2" t="s">
        <v>69</v>
      </c>
      <c r="B15" s="22" t="s">
        <v>70</v>
      </c>
      <c r="C15" s="3" t="s">
        <v>138</v>
      </c>
      <c r="D15" s="7" t="s">
        <v>88</v>
      </c>
      <c r="E15" s="32">
        <v>49828.51</v>
      </c>
      <c r="F15" s="55"/>
      <c r="G15" s="32"/>
      <c r="H15" s="32">
        <f>F15+G15</f>
        <v>0</v>
      </c>
      <c r="I15" s="32">
        <v>149021</v>
      </c>
      <c r="J15" s="13">
        <v>10951</v>
      </c>
      <c r="K15" s="13"/>
      <c r="L15" s="32"/>
      <c r="M15" s="32"/>
      <c r="N15" s="32"/>
      <c r="O15" s="31">
        <f>I15/$O$4</f>
        <v>29804.2</v>
      </c>
    </row>
    <row r="16" spans="2:15" s="2" customFormat="1" ht="16.5">
      <c r="B16" s="22" t="s">
        <v>143</v>
      </c>
      <c r="C16" s="3"/>
      <c r="D16" s="7" t="s">
        <v>88</v>
      </c>
      <c r="E16" s="32">
        <v>19176</v>
      </c>
      <c r="F16" s="55">
        <v>72084</v>
      </c>
      <c r="G16" s="32">
        <v>210000</v>
      </c>
      <c r="H16" s="32">
        <f>F16+G16</f>
        <v>282084</v>
      </c>
      <c r="I16" s="32">
        <v>89772</v>
      </c>
      <c r="J16" s="13"/>
      <c r="K16" s="13"/>
      <c r="L16" s="32"/>
      <c r="M16" s="32"/>
      <c r="N16" s="32"/>
      <c r="O16" s="31">
        <f>I16/$O$4</f>
        <v>17954.4</v>
      </c>
    </row>
    <row r="17" spans="2:15" s="2" customFormat="1" ht="16.5">
      <c r="B17" s="22" t="s">
        <v>146</v>
      </c>
      <c r="C17" s="3" t="s">
        <v>147</v>
      </c>
      <c r="D17" s="7"/>
      <c r="E17" s="32"/>
      <c r="F17" s="55">
        <v>71500</v>
      </c>
      <c r="G17" s="32"/>
      <c r="H17" s="32">
        <f>F17+G17</f>
        <v>71500</v>
      </c>
      <c r="I17" s="32"/>
      <c r="J17" s="13"/>
      <c r="K17" s="13"/>
      <c r="L17" s="32"/>
      <c r="M17" s="32"/>
      <c r="N17" s="32"/>
      <c r="O17" s="31"/>
    </row>
    <row r="18" spans="1:15" s="33" customFormat="1" ht="16.5">
      <c r="A18" s="39"/>
      <c r="B18" s="34" t="s">
        <v>74</v>
      </c>
      <c r="C18" s="35"/>
      <c r="D18" s="36"/>
      <c r="E18" s="40">
        <f>SUM(E14:E17)</f>
        <v>388099.21</v>
      </c>
      <c r="F18" s="40">
        <f>SUM(F14:F17)</f>
        <v>143584</v>
      </c>
      <c r="G18" s="40">
        <f>SUM(G14:G17)</f>
        <v>850000</v>
      </c>
      <c r="H18" s="40">
        <f>SUM(H14:H17)</f>
        <v>993584</v>
      </c>
      <c r="I18" s="40">
        <f>SUM(I14:I17)</f>
        <v>459556</v>
      </c>
      <c r="J18" s="40">
        <f>SUM(J14:J17)</f>
        <v>10951</v>
      </c>
      <c r="K18" s="37">
        <f>+IF(H18&gt;0,I18/H18,"-")</f>
        <v>0.4625235511038825</v>
      </c>
      <c r="L18" s="38">
        <f>+IF(H18&gt;0,H18-I18,"-")</f>
        <v>534028</v>
      </c>
      <c r="M18" s="40">
        <f>SUM(M14:M17)</f>
        <v>0</v>
      </c>
      <c r="N18" s="40">
        <f>SUM(N14:N17)</f>
        <v>0</v>
      </c>
      <c r="O18" s="40">
        <f>SUM(O14:O17)</f>
        <v>91911.20000000001</v>
      </c>
    </row>
    <row r="19" spans="1:15" s="2" customFormat="1" ht="16.5">
      <c r="A19" s="2" t="s">
        <v>31</v>
      </c>
      <c r="B19" s="22" t="s">
        <v>32</v>
      </c>
      <c r="C19" s="3" t="s">
        <v>139</v>
      </c>
      <c r="D19" s="7" t="s">
        <v>88</v>
      </c>
      <c r="E19" s="32">
        <v>606179.6</v>
      </c>
      <c r="F19" s="55"/>
      <c r="G19" s="55"/>
      <c r="H19" s="55"/>
      <c r="I19" s="32">
        <v>239836</v>
      </c>
      <c r="J19" s="13">
        <v>7897</v>
      </c>
      <c r="K19" s="27" t="str">
        <f>+IF(H19&gt;0,I19/H19,"-")</f>
        <v>-</v>
      </c>
      <c r="L19" s="31" t="str">
        <f>+IF(H19&gt;0,H19-I19,"-")</f>
        <v>-</v>
      </c>
      <c r="M19" s="31">
        <f>+IF(H18&gt;0,H18-(I19=J19),"-")</f>
        <v>993584</v>
      </c>
      <c r="N19" s="31">
        <f>+IF(H18&gt;0,((I19+J19)/H18),"-")</f>
        <v>0.24933271872332888</v>
      </c>
      <c r="O19" s="31">
        <f>I19/$O$4</f>
        <v>47967.2</v>
      </c>
    </row>
    <row r="20" spans="1:15" s="41" customFormat="1" ht="18" customHeight="1" hidden="1">
      <c r="A20" s="41" t="s">
        <v>33</v>
      </c>
      <c r="B20" s="42" t="s">
        <v>34</v>
      </c>
      <c r="C20" s="43" t="s">
        <v>140</v>
      </c>
      <c r="D20" s="44" t="s">
        <v>88</v>
      </c>
      <c r="E20" s="56">
        <v>328812.79</v>
      </c>
      <c r="F20" s="56"/>
      <c r="G20" s="56"/>
      <c r="H20" s="56"/>
      <c r="I20" s="56">
        <v>431053.75</v>
      </c>
      <c r="J20" s="45"/>
      <c r="K20" s="27" t="str">
        <f>+IF(H20&gt;0,I20/H20,"-")</f>
        <v>-</v>
      </c>
      <c r="L20" s="31" t="str">
        <f>+IF(H20&gt;0,H20-I20,"-")</f>
        <v>-</v>
      </c>
      <c r="M20" s="46" t="str">
        <f>+IF(H20&gt;0,H20-(I20=J20),"-")</f>
        <v>-</v>
      </c>
      <c r="N20" s="46" t="str">
        <f>+IF(H20&gt;0,((I20+J20)/H20),"-")</f>
        <v>-</v>
      </c>
      <c r="O20" s="46">
        <f>I20/$O$4</f>
        <v>86210.75</v>
      </c>
    </row>
    <row r="21" spans="2:15" s="2" customFormat="1" ht="18" customHeight="1">
      <c r="B21" s="22" t="s">
        <v>34</v>
      </c>
      <c r="C21" s="3" t="s">
        <v>140</v>
      </c>
      <c r="D21" s="7"/>
      <c r="E21" s="32">
        <f>E20-E10</f>
        <v>93859.29999999999</v>
      </c>
      <c r="F21" s="32"/>
      <c r="G21" s="32"/>
      <c r="H21" s="32"/>
      <c r="I21" s="32">
        <f>467962-I10</f>
        <v>34111</v>
      </c>
      <c r="J21" s="13">
        <v>19014</v>
      </c>
      <c r="K21" s="27" t="str">
        <f>+IF(H21&gt;0,I21/H21,"-")</f>
        <v>-</v>
      </c>
      <c r="L21" s="31" t="str">
        <f>+IF(H21&gt;0,H21-I21,"-")</f>
        <v>-</v>
      </c>
      <c r="M21" s="31"/>
      <c r="N21" s="31"/>
      <c r="O21" s="31">
        <f>I21/$O$4</f>
        <v>6822.2</v>
      </c>
    </row>
    <row r="22" spans="1:15" s="33" customFormat="1" ht="16.5">
      <c r="A22" s="60"/>
      <c r="B22" s="34" t="s">
        <v>35</v>
      </c>
      <c r="C22" s="35"/>
      <c r="D22" s="36"/>
      <c r="E22" s="40">
        <f>E19+E21</f>
        <v>700038.8999999999</v>
      </c>
      <c r="F22" s="40">
        <v>180000</v>
      </c>
      <c r="G22" s="40">
        <v>520000</v>
      </c>
      <c r="H22" s="40">
        <f>F22+G22</f>
        <v>700000</v>
      </c>
      <c r="I22" s="40">
        <f>I19+I21</f>
        <v>273947</v>
      </c>
      <c r="J22" s="40">
        <f>J19+J21</f>
        <v>26911</v>
      </c>
      <c r="K22" s="37">
        <f>+IF(H22&gt;0,I22/H22,"-")</f>
        <v>0.39135285714285717</v>
      </c>
      <c r="L22" s="38">
        <f>+IF(H22&gt;0,H22-I22,"-")</f>
        <v>426053</v>
      </c>
      <c r="M22" s="38" t="e">
        <f>+IF(#REF!&gt;0,#REF!-(I22=J22),"-")</f>
        <v>#REF!</v>
      </c>
      <c r="N22" s="38" t="e">
        <f>+IF(#REF!&gt;0,((I22+J22)/#REF!),"-")</f>
        <v>#REF!</v>
      </c>
      <c r="O22" s="38">
        <f>I22/$O$4</f>
        <v>54789.4</v>
      </c>
    </row>
    <row r="23" spans="2:15" s="2" customFormat="1" ht="16.5">
      <c r="B23" s="22"/>
      <c r="C23" s="3"/>
      <c r="D23" s="7"/>
      <c r="E23" s="32"/>
      <c r="F23" s="55"/>
      <c r="G23" s="55"/>
      <c r="H23" s="55"/>
      <c r="I23" s="32"/>
      <c r="J23" s="13"/>
      <c r="K23" s="13"/>
      <c r="L23" s="52"/>
      <c r="M23" s="32"/>
      <c r="N23" s="32"/>
      <c r="O23" s="31">
        <f>I23/$O$4</f>
        <v>0</v>
      </c>
    </row>
    <row r="24" spans="1:15" ht="16.5">
      <c r="A24" s="2"/>
      <c r="B24" s="22" t="s">
        <v>78</v>
      </c>
      <c r="E24" s="32">
        <v>78400</v>
      </c>
      <c r="G24" s="32">
        <v>52195</v>
      </c>
      <c r="H24" s="32">
        <f>F24+G24</f>
        <v>52195</v>
      </c>
      <c r="I24" s="52">
        <v>0</v>
      </c>
      <c r="K24" s="27">
        <f>+IF(H24&gt;0,I24/H24,"-")</f>
        <v>0</v>
      </c>
      <c r="L24" s="31">
        <f>+IF(H24&gt;0,H24-I24,"-")</f>
        <v>52195</v>
      </c>
      <c r="M24" s="31" t="e">
        <f>+IF(#REF!&gt;0,#REF!-(I24=J24),"-")</f>
        <v>#REF!</v>
      </c>
      <c r="N24" s="31" t="e">
        <f>+IF(#REF!&gt;0,((I24+J24)/#REF!),"-")</f>
        <v>#REF!</v>
      </c>
      <c r="O24" s="31">
        <f>I24/$O$4</f>
        <v>0</v>
      </c>
    </row>
    <row r="25" spans="2:15" ht="16.5">
      <c r="B25" s="22"/>
      <c r="C25" s="9" t="s">
        <v>144</v>
      </c>
      <c r="E25" s="32">
        <v>209664</v>
      </c>
      <c r="K25" s="58"/>
      <c r="L25" s="59"/>
      <c r="O25" s="31">
        <f>I25/$O$4</f>
        <v>0</v>
      </c>
    </row>
    <row r="26" spans="1:15" ht="16.5">
      <c r="A26" s="2" t="s">
        <v>79</v>
      </c>
      <c r="B26" s="22" t="s">
        <v>80</v>
      </c>
      <c r="C26" s="9" t="s">
        <v>141</v>
      </c>
      <c r="D26" s="4" t="s">
        <v>88</v>
      </c>
      <c r="E26" s="32">
        <v>0</v>
      </c>
      <c r="G26" s="32">
        <v>90000</v>
      </c>
      <c r="H26" s="32">
        <f>F26+G26</f>
        <v>90000</v>
      </c>
      <c r="I26" s="52">
        <v>21991</v>
      </c>
      <c r="J26" s="10">
        <v>2346</v>
      </c>
      <c r="K26" s="27">
        <f>+IF(H26&gt;0,I26/H26,"-")</f>
        <v>0.24434444444444445</v>
      </c>
      <c r="L26" s="31">
        <f>+IF(H26&gt;0,H26-I26,"-")</f>
        <v>68009</v>
      </c>
      <c r="M26" s="31" t="e">
        <f>+IF(#REF!&gt;0,#REF!-(I26=J26),"-")</f>
        <v>#REF!</v>
      </c>
      <c r="N26" s="31" t="e">
        <f>+IF(#REF!&gt;0,((I26+J26)/#REF!),"-")</f>
        <v>#REF!</v>
      </c>
      <c r="O26" s="31">
        <f>I26/$O$4</f>
        <v>4398.2</v>
      </c>
    </row>
    <row r="27" spans="2:15" ht="16.5">
      <c r="B27" s="22"/>
      <c r="L27" s="59"/>
      <c r="O27" s="31">
        <f>I27/$O$4</f>
        <v>0</v>
      </c>
    </row>
    <row r="28" spans="2:15" ht="16.5">
      <c r="B28" s="22"/>
      <c r="O28" s="31">
        <f>I28/$O$4</f>
        <v>0</v>
      </c>
    </row>
    <row r="29" spans="2:15" s="47" customFormat="1" ht="16.5">
      <c r="B29" s="34" t="s">
        <v>36</v>
      </c>
      <c r="C29" s="48"/>
      <c r="D29" s="49"/>
      <c r="E29" s="40">
        <f>E13+E22+E24+E18+E26+E25</f>
        <v>3284809.36</v>
      </c>
      <c r="F29" s="40">
        <f>F13+F22+F25+F18+F27+F28</f>
        <v>323584</v>
      </c>
      <c r="G29" s="40">
        <f>G13+G22+G24+G18+G27+G26</f>
        <v>3102195</v>
      </c>
      <c r="H29" s="40">
        <f>H13+H22+H24+H18+H27+H26</f>
        <v>3425779</v>
      </c>
      <c r="I29" s="40">
        <f>I13+I22+I24+I18+I26</f>
        <v>1523376</v>
      </c>
      <c r="J29" s="40">
        <f>J13+J22+J24+J18+J26</f>
        <v>60146</v>
      </c>
      <c r="K29" s="37">
        <f>+IF(H29&gt;0,I29/H29,"-")</f>
        <v>0.44468017347295313</v>
      </c>
      <c r="L29" s="38">
        <f>+IF(H29&gt;0,H29-I29,"-")</f>
        <v>1902403</v>
      </c>
      <c r="M29" s="38" t="e">
        <f>+IF(#REF!&gt;0,#REF!-(I29=J29),"-")</f>
        <v>#REF!</v>
      </c>
      <c r="N29" s="38" t="e">
        <f>+IF(#REF!&gt;0,((I29+J29)/#REF!),"-")</f>
        <v>#REF!</v>
      </c>
      <c r="O29" s="40">
        <f>O13+O22+O24+O18+O26</f>
        <v>304675.2</v>
      </c>
    </row>
    <row r="30" spans="2:15" ht="16.5">
      <c r="B30" s="22"/>
      <c r="C30" s="9">
        <f>SUM(F35:F37)</f>
        <v>203402.13</v>
      </c>
      <c r="O30" s="31"/>
    </row>
    <row r="31" spans="2:15" ht="16.5">
      <c r="B31" s="23"/>
      <c r="O31" s="31"/>
    </row>
    <row r="32" spans="1:15" ht="16.5">
      <c r="A32" s="25" t="s">
        <v>37</v>
      </c>
      <c r="B32" s="23" t="s">
        <v>81</v>
      </c>
      <c r="C32" s="9" t="s">
        <v>82</v>
      </c>
      <c r="D32" s="4" t="s">
        <v>83</v>
      </c>
      <c r="E32" s="32">
        <v>892632.13</v>
      </c>
      <c r="F32" s="57">
        <v>774362.19</v>
      </c>
      <c r="G32" s="57">
        <v>1574800</v>
      </c>
      <c r="H32" s="32">
        <f aca="true" t="shared" si="4" ref="H32:H64">F32+G32</f>
        <v>2349162.19</v>
      </c>
      <c r="I32" s="52">
        <v>569778</v>
      </c>
      <c r="J32" s="10">
        <v>92195</v>
      </c>
      <c r="K32" s="27">
        <f>+IF(H32&gt;0,I32/H32,"-")</f>
        <v>0.24254519437842648</v>
      </c>
      <c r="L32" s="31">
        <f>+IF(H32&gt;0,H32-I32,"-")</f>
        <v>1779384.19</v>
      </c>
      <c r="M32" s="31" t="e">
        <f>+IF(#REF!&gt;0,#REF!-(I32=J32),"-")</f>
        <v>#REF!</v>
      </c>
      <c r="N32" s="31" t="e">
        <f>+IF(#REF!&gt;0,((I32+J32)/#REF!),"-")</f>
        <v>#REF!</v>
      </c>
      <c r="O32" s="31">
        <f>I32/$O$4</f>
        <v>113955.6</v>
      </c>
    </row>
    <row r="33" spans="1:15" ht="16.5">
      <c r="A33" s="25" t="s">
        <v>38</v>
      </c>
      <c r="B33" s="23" t="s">
        <v>84</v>
      </c>
      <c r="C33" s="9" t="s">
        <v>85</v>
      </c>
      <c r="D33" s="4" t="s">
        <v>83</v>
      </c>
      <c r="E33" s="32">
        <v>624077.92</v>
      </c>
      <c r="F33" s="61">
        <v>389102.72</v>
      </c>
      <c r="G33" s="57">
        <v>1234897</v>
      </c>
      <c r="H33" s="32">
        <f t="shared" si="4"/>
        <v>1623999.72</v>
      </c>
      <c r="I33" s="52">
        <v>465729</v>
      </c>
      <c r="J33" s="10">
        <v>84643</v>
      </c>
      <c r="K33" s="27">
        <f aca="true" t="shared" si="5" ref="K33:K64">+IF(H33&gt;0,I33/H33,"-")</f>
        <v>0.286778990331353</v>
      </c>
      <c r="L33" s="31">
        <f aca="true" t="shared" si="6" ref="L33:L64">+IF(H33&gt;0,H33-I33,"-")</f>
        <v>1158270.72</v>
      </c>
      <c r="M33" s="31" t="e">
        <f>+IF(#REF!&gt;0,#REF!-(I33=J33),"-")</f>
        <v>#REF!</v>
      </c>
      <c r="N33" s="31" t="e">
        <f>+IF(#REF!&gt;0,((I33+J33)/#REF!),"-")</f>
        <v>#REF!</v>
      </c>
      <c r="O33" s="31">
        <f aca="true" t="shared" si="7" ref="O33:O64">I33/$O$4</f>
        <v>93145.8</v>
      </c>
    </row>
    <row r="34" spans="1:15" ht="16.5">
      <c r="A34" s="25" t="s">
        <v>71</v>
      </c>
      <c r="B34" s="23" t="s">
        <v>86</v>
      </c>
      <c r="C34" s="9" t="s">
        <v>87</v>
      </c>
      <c r="D34" s="4" t="s">
        <v>88</v>
      </c>
      <c r="E34" s="32">
        <v>341678.51</v>
      </c>
      <c r="F34" s="61">
        <v>203402.13</v>
      </c>
      <c r="G34" s="57">
        <v>674598</v>
      </c>
      <c r="H34" s="32">
        <f t="shared" si="4"/>
        <v>878000.13</v>
      </c>
      <c r="I34" s="52">
        <v>205706</v>
      </c>
      <c r="J34" s="10">
        <v>58989</v>
      </c>
      <c r="K34" s="27">
        <f t="shared" si="5"/>
        <v>0.23428925915990467</v>
      </c>
      <c r="L34" s="31">
        <f t="shared" si="6"/>
        <v>672294.13</v>
      </c>
      <c r="M34" s="31" t="e">
        <f>+IF(#REF!&gt;0,#REF!-(I34=J34),"-")</f>
        <v>#REF!</v>
      </c>
      <c r="N34" s="31" t="e">
        <f>+IF(#REF!&gt;0,((I34+J34)/#REF!),"-")</f>
        <v>#REF!</v>
      </c>
      <c r="O34" s="31">
        <f t="shared" si="7"/>
        <v>41141.2</v>
      </c>
    </row>
    <row r="35" spans="1:15" ht="16.5">
      <c r="A35" s="25" t="s">
        <v>68</v>
      </c>
      <c r="B35" s="23" t="s">
        <v>89</v>
      </c>
      <c r="C35" s="9" t="s">
        <v>90</v>
      </c>
      <c r="D35" s="4" t="s">
        <v>88</v>
      </c>
      <c r="E35" s="32">
        <v>118754.14</v>
      </c>
      <c r="F35" s="61">
        <v>126245.86</v>
      </c>
      <c r="G35" s="57">
        <v>400754</v>
      </c>
      <c r="H35" s="32">
        <f t="shared" si="4"/>
        <v>526999.86</v>
      </c>
      <c r="I35" s="52">
        <v>103309</v>
      </c>
      <c r="J35" s="10">
        <v>1194</v>
      </c>
      <c r="K35" s="27">
        <f t="shared" si="5"/>
        <v>0.19603231014141068</v>
      </c>
      <c r="L35" s="31">
        <f t="shared" si="6"/>
        <v>423690.86</v>
      </c>
      <c r="M35" s="31" t="e">
        <f>+IF(#REF!&gt;0,#REF!-(I35=J35),"-")</f>
        <v>#REF!</v>
      </c>
      <c r="N35" s="31" t="e">
        <f>+IF(#REF!&gt;0,((I35+J35)/#REF!),"-")</f>
        <v>#REF!</v>
      </c>
      <c r="O35" s="31">
        <f t="shared" si="7"/>
        <v>20661.8</v>
      </c>
    </row>
    <row r="36" spans="1:15" ht="16.5">
      <c r="A36" s="25" t="s">
        <v>39</v>
      </c>
      <c r="B36" s="23" t="s">
        <v>91</v>
      </c>
      <c r="C36" s="9" t="s">
        <v>92</v>
      </c>
      <c r="D36" s="4" t="s">
        <v>88</v>
      </c>
      <c r="E36" s="32">
        <v>222543.73</v>
      </c>
      <c r="F36" s="61">
        <v>77156.27</v>
      </c>
      <c r="G36" s="57">
        <v>74844</v>
      </c>
      <c r="H36" s="32">
        <f t="shared" si="4"/>
        <v>152000.27000000002</v>
      </c>
      <c r="I36" s="52">
        <v>98885</v>
      </c>
      <c r="J36" s="10">
        <v>11076</v>
      </c>
      <c r="K36" s="27">
        <f t="shared" si="5"/>
        <v>0.6505580549297708</v>
      </c>
      <c r="L36" s="31">
        <f t="shared" si="6"/>
        <v>53115.27000000002</v>
      </c>
      <c r="M36" s="31" t="e">
        <f>+IF(#REF!&gt;0,#REF!-(I36=J36),"-")</f>
        <v>#REF!</v>
      </c>
      <c r="N36" s="31" t="e">
        <f>+IF(#REF!&gt;0,((I36+J36)/#REF!),"-")</f>
        <v>#REF!</v>
      </c>
      <c r="O36" s="31">
        <f t="shared" si="7"/>
        <v>19777</v>
      </c>
    </row>
    <row r="37" spans="1:15" ht="16.5">
      <c r="A37" s="25" t="s">
        <v>40</v>
      </c>
      <c r="B37" s="23" t="s">
        <v>93</v>
      </c>
      <c r="C37" s="9" t="s">
        <v>94</v>
      </c>
      <c r="D37" s="4" t="s">
        <v>88</v>
      </c>
      <c r="E37" s="32">
        <v>0</v>
      </c>
      <c r="F37" s="61">
        <v>0</v>
      </c>
      <c r="G37" s="57">
        <v>199000</v>
      </c>
      <c r="H37" s="32">
        <f t="shared" si="4"/>
        <v>199000</v>
      </c>
      <c r="I37" s="52">
        <v>2112</v>
      </c>
      <c r="J37" s="10">
        <v>32325</v>
      </c>
      <c r="K37" s="27">
        <f t="shared" si="5"/>
        <v>0.010613065326633166</v>
      </c>
      <c r="L37" s="31">
        <f t="shared" si="6"/>
        <v>196888</v>
      </c>
      <c r="M37" s="31" t="e">
        <f>+IF(#REF!&gt;0,#REF!-(I37=J37),"-")</f>
        <v>#REF!</v>
      </c>
      <c r="N37" s="31" t="e">
        <f>+IF(#REF!&gt;0,((I37+J37)/#REF!),"-")</f>
        <v>#REF!</v>
      </c>
      <c r="O37" s="31">
        <f t="shared" si="7"/>
        <v>422.4</v>
      </c>
    </row>
    <row r="38" spans="1:15" ht="16.5">
      <c r="A38" s="25" t="s">
        <v>41</v>
      </c>
      <c r="B38" s="23" t="s">
        <v>95</v>
      </c>
      <c r="C38" s="9" t="s">
        <v>96</v>
      </c>
      <c r="D38" s="4" t="s">
        <v>88</v>
      </c>
      <c r="E38" s="32">
        <v>169673.83</v>
      </c>
      <c r="F38" s="61">
        <v>120126.17</v>
      </c>
      <c r="G38" s="57">
        <v>422874</v>
      </c>
      <c r="H38" s="32">
        <f t="shared" si="4"/>
        <v>543000.17</v>
      </c>
      <c r="I38" s="52">
        <v>209404</v>
      </c>
      <c r="J38" s="10">
        <v>10929</v>
      </c>
      <c r="K38" s="27">
        <f t="shared" si="5"/>
        <v>0.38564260486327284</v>
      </c>
      <c r="L38" s="31">
        <f t="shared" si="6"/>
        <v>333596.17000000004</v>
      </c>
      <c r="M38" s="31" t="e">
        <f>+IF(#REF!&gt;0,#REF!-(I38=J38),"-")</f>
        <v>#REF!</v>
      </c>
      <c r="N38" s="31" t="e">
        <f>+IF(#REF!&gt;0,((I38+J38)/#REF!),"-")</f>
        <v>#REF!</v>
      </c>
      <c r="O38" s="31">
        <f t="shared" si="7"/>
        <v>41880.8</v>
      </c>
    </row>
    <row r="39" spans="1:15" ht="16.5">
      <c r="A39" s="25" t="s">
        <v>42</v>
      </c>
      <c r="B39" s="23" t="s">
        <v>97</v>
      </c>
      <c r="C39" s="9" t="s">
        <v>98</v>
      </c>
      <c r="D39" s="4" t="s">
        <v>88</v>
      </c>
      <c r="E39" s="32">
        <v>128687.66</v>
      </c>
      <c r="F39" s="61">
        <v>44412.34</v>
      </c>
      <c r="G39" s="57">
        <v>307588</v>
      </c>
      <c r="H39" s="32">
        <f t="shared" si="4"/>
        <v>352000.33999999997</v>
      </c>
      <c r="I39" s="52">
        <v>200430</v>
      </c>
      <c r="J39" s="10">
        <v>10929</v>
      </c>
      <c r="K39" s="27">
        <f t="shared" si="5"/>
        <v>0.5694028590995112</v>
      </c>
      <c r="L39" s="31">
        <f t="shared" si="6"/>
        <v>151570.33999999997</v>
      </c>
      <c r="M39" s="31" t="e">
        <f>+IF(#REF!&gt;0,#REF!-(I39=J39),"-")</f>
        <v>#REF!</v>
      </c>
      <c r="N39" s="31" t="e">
        <f>+IF(#REF!&gt;0,((I39+J39)/#REF!),"-")</f>
        <v>#REF!</v>
      </c>
      <c r="O39" s="31">
        <f t="shared" si="7"/>
        <v>40086</v>
      </c>
    </row>
    <row r="40" spans="1:15" ht="16.5">
      <c r="A40" s="25" t="s">
        <v>43</v>
      </c>
      <c r="B40" s="23" t="s">
        <v>99</v>
      </c>
      <c r="C40" s="9" t="s">
        <v>92</v>
      </c>
      <c r="D40" s="4" t="s">
        <v>88</v>
      </c>
      <c r="E40" s="32">
        <v>40986.17</v>
      </c>
      <c r="F40" s="61">
        <v>75713.83</v>
      </c>
      <c r="G40" s="57">
        <v>115286</v>
      </c>
      <c r="H40" s="32">
        <f t="shared" si="4"/>
        <v>190999.83000000002</v>
      </c>
      <c r="I40" s="52">
        <v>8974</v>
      </c>
      <c r="K40" s="27">
        <f t="shared" si="5"/>
        <v>0.04698433501223535</v>
      </c>
      <c r="L40" s="31">
        <f t="shared" si="6"/>
        <v>182025.83000000002</v>
      </c>
      <c r="M40" s="31" t="e">
        <f>+IF(#REF!&gt;0,#REF!-(I40=J40),"-")</f>
        <v>#REF!</v>
      </c>
      <c r="N40" s="31" t="e">
        <f>+IF(#REF!&gt;0,((I40+J40)/#REF!),"-")</f>
        <v>#REF!</v>
      </c>
      <c r="O40" s="31">
        <f t="shared" si="7"/>
        <v>1794.8</v>
      </c>
    </row>
    <row r="41" spans="1:15" ht="16.5">
      <c r="A41" s="25" t="s">
        <v>44</v>
      </c>
      <c r="B41" s="23" t="s">
        <v>100</v>
      </c>
      <c r="C41" s="9" t="s">
        <v>101</v>
      </c>
      <c r="D41" s="4" t="s">
        <v>88</v>
      </c>
      <c r="E41" s="32">
        <v>0</v>
      </c>
      <c r="F41" s="61">
        <v>0</v>
      </c>
      <c r="G41" s="57">
        <v>0</v>
      </c>
      <c r="H41" s="32">
        <f t="shared" si="4"/>
        <v>0</v>
      </c>
      <c r="I41" s="52">
        <v>0</v>
      </c>
      <c r="K41" s="27" t="str">
        <f t="shared" si="5"/>
        <v>-</v>
      </c>
      <c r="L41" s="31" t="str">
        <f t="shared" si="6"/>
        <v>-</v>
      </c>
      <c r="M41" s="31" t="e">
        <f>+IF(#REF!&gt;0,#REF!-(I41=J41),"-")</f>
        <v>#REF!</v>
      </c>
      <c r="N41" s="31" t="e">
        <f>+IF(#REF!&gt;0,((I41+J41)/#REF!),"-")</f>
        <v>#REF!</v>
      </c>
      <c r="O41" s="31">
        <f t="shared" si="7"/>
        <v>0</v>
      </c>
    </row>
    <row r="42" spans="1:15" ht="16.5">
      <c r="A42" s="25" t="s">
        <v>45</v>
      </c>
      <c r="B42" s="23" t="s">
        <v>102</v>
      </c>
      <c r="C42" s="9" t="s">
        <v>103</v>
      </c>
      <c r="D42" s="4" t="s">
        <v>88</v>
      </c>
      <c r="E42" s="32">
        <v>112725.58</v>
      </c>
      <c r="F42" s="61">
        <v>65574.42</v>
      </c>
      <c r="G42" s="57">
        <v>93425</v>
      </c>
      <c r="H42" s="32">
        <f t="shared" si="4"/>
        <v>158999.41999999998</v>
      </c>
      <c r="I42" s="52">
        <v>50618</v>
      </c>
      <c r="J42" s="10">
        <v>14725</v>
      </c>
      <c r="K42" s="27">
        <f t="shared" si="5"/>
        <v>0.31835336254685714</v>
      </c>
      <c r="L42" s="31">
        <f t="shared" si="6"/>
        <v>108381.41999999998</v>
      </c>
      <c r="M42" s="31" t="e">
        <f>+IF(#REF!&gt;0,#REF!-(I42=J42),"-")</f>
        <v>#REF!</v>
      </c>
      <c r="N42" s="31" t="e">
        <f>+IF(#REF!&gt;0,((I42+J42)/#REF!),"-")</f>
        <v>#REF!</v>
      </c>
      <c r="O42" s="31">
        <f t="shared" si="7"/>
        <v>10123.6</v>
      </c>
    </row>
    <row r="43" spans="1:15" ht="16.5">
      <c r="A43" s="25" t="s">
        <v>46</v>
      </c>
      <c r="B43" s="23" t="s">
        <v>104</v>
      </c>
      <c r="C43" s="9" t="s">
        <v>98</v>
      </c>
      <c r="D43" s="4" t="s">
        <v>88</v>
      </c>
      <c r="E43" s="32">
        <v>28902.09</v>
      </c>
      <c r="F43" s="61">
        <v>22797.91</v>
      </c>
      <c r="G43" s="57">
        <v>56202</v>
      </c>
      <c r="H43" s="32">
        <f t="shared" si="4"/>
        <v>78999.91</v>
      </c>
      <c r="I43" s="52">
        <v>13346</v>
      </c>
      <c r="K43" s="27">
        <f t="shared" si="5"/>
        <v>0.16893690132052047</v>
      </c>
      <c r="L43" s="31">
        <f t="shared" si="6"/>
        <v>65653.91</v>
      </c>
      <c r="M43" s="31" t="e">
        <f>+IF(#REF!&gt;0,#REF!-(I43=J43),"-")</f>
        <v>#REF!</v>
      </c>
      <c r="N43" s="31" t="e">
        <f>+IF(#REF!&gt;0,((I43+J43)/#REF!),"-")</f>
        <v>#REF!</v>
      </c>
      <c r="O43" s="31">
        <f t="shared" si="7"/>
        <v>2669.2</v>
      </c>
    </row>
    <row r="44" spans="1:15" ht="16.5">
      <c r="A44" s="25" t="s">
        <v>47</v>
      </c>
      <c r="B44" s="23" t="s">
        <v>105</v>
      </c>
      <c r="C44" s="9" t="s">
        <v>92</v>
      </c>
      <c r="D44" s="4" t="s">
        <v>88</v>
      </c>
      <c r="E44" s="32">
        <v>83823.49</v>
      </c>
      <c r="F44" s="61">
        <v>42776.51</v>
      </c>
      <c r="G44" s="57">
        <v>37223</v>
      </c>
      <c r="H44" s="32">
        <f t="shared" si="4"/>
        <v>79999.51000000001</v>
      </c>
      <c r="I44" s="52">
        <v>37272</v>
      </c>
      <c r="J44" s="10">
        <v>14725</v>
      </c>
      <c r="K44" s="27">
        <f t="shared" si="5"/>
        <v>0.4659028536549786</v>
      </c>
      <c r="L44" s="31">
        <f t="shared" si="6"/>
        <v>42727.51000000001</v>
      </c>
      <c r="M44" s="31" t="e">
        <f>+IF(#REF!&gt;0,#REF!-(I44=J44),"-")</f>
        <v>#REF!</v>
      </c>
      <c r="N44" s="31" t="e">
        <f>+IF(#REF!&gt;0,((I44+J44)/#REF!),"-")</f>
        <v>#REF!</v>
      </c>
      <c r="O44" s="31">
        <f t="shared" si="7"/>
        <v>7454.4</v>
      </c>
    </row>
    <row r="45" spans="1:15" ht="16.5">
      <c r="A45" s="25" t="s">
        <v>48</v>
      </c>
      <c r="B45" s="23" t="s">
        <v>106</v>
      </c>
      <c r="C45" s="9" t="s">
        <v>101</v>
      </c>
      <c r="D45" s="4" t="s">
        <v>88</v>
      </c>
      <c r="E45" s="32">
        <v>0</v>
      </c>
      <c r="F45" s="61">
        <v>0</v>
      </c>
      <c r="G45" s="57">
        <v>0</v>
      </c>
      <c r="H45" s="32">
        <f t="shared" si="4"/>
        <v>0</v>
      </c>
      <c r="I45" s="52">
        <v>0</v>
      </c>
      <c r="K45" s="27" t="str">
        <f t="shared" si="5"/>
        <v>-</v>
      </c>
      <c r="L45" s="31" t="str">
        <f t="shared" si="6"/>
        <v>-</v>
      </c>
      <c r="M45" s="31" t="e">
        <f>+IF(#REF!&gt;0,#REF!-(I45=J45),"-")</f>
        <v>#REF!</v>
      </c>
      <c r="N45" s="31" t="e">
        <f>+IF(#REF!&gt;0,((I45+J45)/#REF!),"-")</f>
        <v>#REF!</v>
      </c>
      <c r="O45" s="31">
        <f t="shared" si="7"/>
        <v>0</v>
      </c>
    </row>
    <row r="46" spans="1:15" ht="16.5">
      <c r="A46" s="25" t="s">
        <v>49</v>
      </c>
      <c r="B46" s="23" t="s">
        <v>107</v>
      </c>
      <c r="C46" s="9" t="s">
        <v>108</v>
      </c>
      <c r="D46" s="4" t="s">
        <v>88</v>
      </c>
      <c r="E46" s="32">
        <v>0</v>
      </c>
      <c r="F46" s="61">
        <v>0</v>
      </c>
      <c r="G46" s="57">
        <v>16000</v>
      </c>
      <c r="H46" s="32">
        <f t="shared" si="4"/>
        <v>16000</v>
      </c>
      <c r="I46" s="52">
        <v>0</v>
      </c>
      <c r="K46" s="27">
        <f t="shared" si="5"/>
        <v>0</v>
      </c>
      <c r="L46" s="31">
        <f t="shared" si="6"/>
        <v>16000</v>
      </c>
      <c r="M46" s="31" t="e">
        <f>+IF(#REF!&gt;0,#REF!-(I46=J46),"-")</f>
        <v>#REF!</v>
      </c>
      <c r="N46" s="31" t="e">
        <f>+IF(#REF!&gt;0,((I46+J46)/#REF!),"-")</f>
        <v>#REF!</v>
      </c>
      <c r="O46" s="31">
        <f t="shared" si="7"/>
        <v>0</v>
      </c>
    </row>
    <row r="47" spans="1:15" ht="16.5">
      <c r="A47" s="25" t="s">
        <v>50</v>
      </c>
      <c r="B47" s="23" t="s">
        <v>109</v>
      </c>
      <c r="C47" s="9" t="s">
        <v>110</v>
      </c>
      <c r="D47" s="4" t="s">
        <v>88</v>
      </c>
      <c r="E47" s="32">
        <v>0</v>
      </c>
      <c r="F47" s="61">
        <v>0</v>
      </c>
      <c r="G47" s="57">
        <v>0</v>
      </c>
      <c r="H47" s="32">
        <f t="shared" si="4"/>
        <v>0</v>
      </c>
      <c r="I47" s="52">
        <v>0</v>
      </c>
      <c r="K47" s="27" t="str">
        <f t="shared" si="5"/>
        <v>-</v>
      </c>
      <c r="L47" s="31" t="str">
        <f t="shared" si="6"/>
        <v>-</v>
      </c>
      <c r="M47" s="31" t="e">
        <f>+IF(#REF!&gt;0,#REF!-(I47=J47),"-")</f>
        <v>#REF!</v>
      </c>
      <c r="N47" s="31" t="e">
        <f>+IF(#REF!&gt;0,((I47+J47)/#REF!),"-")</f>
        <v>#REF!</v>
      </c>
      <c r="O47" s="31">
        <f t="shared" si="7"/>
        <v>0</v>
      </c>
    </row>
    <row r="48" spans="1:15" ht="16.5">
      <c r="A48" s="25" t="s">
        <v>51</v>
      </c>
      <c r="B48" s="23" t="s">
        <v>111</v>
      </c>
      <c r="C48" s="9" t="s">
        <v>112</v>
      </c>
      <c r="D48" s="4" t="s">
        <v>88</v>
      </c>
      <c r="E48" s="32">
        <v>0</v>
      </c>
      <c r="F48" s="61">
        <v>0</v>
      </c>
      <c r="G48" s="57">
        <v>16000</v>
      </c>
      <c r="H48" s="32">
        <f t="shared" si="4"/>
        <v>16000</v>
      </c>
      <c r="I48" s="52">
        <v>0</v>
      </c>
      <c r="K48" s="27">
        <f t="shared" si="5"/>
        <v>0</v>
      </c>
      <c r="L48" s="31">
        <f t="shared" si="6"/>
        <v>16000</v>
      </c>
      <c r="M48" s="31" t="e">
        <f>+IF(#REF!&gt;0,#REF!-(I48=J48),"-")</f>
        <v>#REF!</v>
      </c>
      <c r="N48" s="31" t="e">
        <f>+IF(#REF!&gt;0,((I48+J48)/#REF!),"-")</f>
        <v>#REF!</v>
      </c>
      <c r="O48" s="31">
        <f t="shared" si="7"/>
        <v>0</v>
      </c>
    </row>
    <row r="49" spans="1:15" ht="16.5">
      <c r="A49" s="25"/>
      <c r="B49" s="23" t="s">
        <v>145</v>
      </c>
      <c r="F49" s="61">
        <v>0</v>
      </c>
      <c r="G49" s="57">
        <v>0</v>
      </c>
      <c r="H49" s="32">
        <f t="shared" si="4"/>
        <v>0</v>
      </c>
      <c r="K49" s="27" t="str">
        <f t="shared" si="5"/>
        <v>-</v>
      </c>
      <c r="L49" s="31" t="str">
        <f t="shared" si="6"/>
        <v>-</v>
      </c>
      <c r="M49" s="31" t="e">
        <f>+IF(#REF!&gt;0,#REF!-(I49=J49),"-")</f>
        <v>#REF!</v>
      </c>
      <c r="N49" s="31" t="e">
        <f>+IF(#REF!&gt;0,((I49+J49)/#REF!),"-")</f>
        <v>#REF!</v>
      </c>
      <c r="O49" s="31">
        <f t="shared" si="7"/>
        <v>0</v>
      </c>
    </row>
    <row r="50" spans="1:15" ht="16.5">
      <c r="A50" s="25"/>
      <c r="B50" s="62" t="s">
        <v>148</v>
      </c>
      <c r="F50" s="61">
        <v>0</v>
      </c>
      <c r="G50" s="57">
        <v>28000</v>
      </c>
      <c r="H50" s="32">
        <f t="shared" si="4"/>
        <v>28000</v>
      </c>
      <c r="K50" s="27">
        <f t="shared" si="5"/>
        <v>0</v>
      </c>
      <c r="L50" s="31">
        <f t="shared" si="6"/>
        <v>28000</v>
      </c>
      <c r="M50" s="31" t="e">
        <f>+IF(#REF!&gt;0,#REF!-(I50=J50),"-")</f>
        <v>#REF!</v>
      </c>
      <c r="N50" s="31" t="e">
        <f>+IF(#REF!&gt;0,((I50+J50)/#REF!),"-")</f>
        <v>#REF!</v>
      </c>
      <c r="O50" s="31">
        <f t="shared" si="7"/>
        <v>0</v>
      </c>
    </row>
    <row r="51" spans="1:15" ht="16.5">
      <c r="A51" s="25"/>
      <c r="B51" s="62" t="s">
        <v>149</v>
      </c>
      <c r="F51" s="61">
        <v>0</v>
      </c>
      <c r="G51" s="57">
        <v>11000</v>
      </c>
      <c r="H51" s="32">
        <f t="shared" si="4"/>
        <v>11000</v>
      </c>
      <c r="K51" s="27">
        <f t="shared" si="5"/>
        <v>0</v>
      </c>
      <c r="L51" s="31">
        <f t="shared" si="6"/>
        <v>11000</v>
      </c>
      <c r="M51" s="31" t="e">
        <f>+IF(#REF!&gt;0,#REF!-(I51=J51),"-")</f>
        <v>#REF!</v>
      </c>
      <c r="N51" s="31" t="e">
        <f>+IF(#REF!&gt;0,((I51+J51)/#REF!),"-")</f>
        <v>#REF!</v>
      </c>
      <c r="O51" s="31">
        <f t="shared" si="7"/>
        <v>0</v>
      </c>
    </row>
    <row r="52" spans="1:15" ht="16.5">
      <c r="A52" s="25"/>
      <c r="B52" s="62" t="s">
        <v>150</v>
      </c>
      <c r="F52" s="61">
        <v>0</v>
      </c>
      <c r="G52" s="57">
        <v>17000</v>
      </c>
      <c r="H52" s="32">
        <f t="shared" si="4"/>
        <v>17000</v>
      </c>
      <c r="K52" s="27">
        <f t="shared" si="5"/>
        <v>0</v>
      </c>
      <c r="L52" s="31">
        <f t="shared" si="6"/>
        <v>17000</v>
      </c>
      <c r="M52" s="31" t="e">
        <f>+IF(#REF!&gt;0,#REF!-(I52=J52),"-")</f>
        <v>#REF!</v>
      </c>
      <c r="N52" s="31" t="e">
        <f>+IF(#REF!&gt;0,((I52+J52)/#REF!),"-")</f>
        <v>#REF!</v>
      </c>
      <c r="O52" s="31">
        <f t="shared" si="7"/>
        <v>0</v>
      </c>
    </row>
    <row r="53" spans="1:15" ht="16.5">
      <c r="A53" s="25" t="s">
        <v>52</v>
      </c>
      <c r="B53" s="23" t="s">
        <v>113</v>
      </c>
      <c r="C53" s="9" t="s">
        <v>114</v>
      </c>
      <c r="D53" s="4" t="s">
        <v>83</v>
      </c>
      <c r="E53" s="32">
        <v>268554.21</v>
      </c>
      <c r="F53" s="61">
        <v>385259.47</v>
      </c>
      <c r="G53" s="57">
        <v>339903</v>
      </c>
      <c r="H53" s="32">
        <f t="shared" si="4"/>
        <v>725162.47</v>
      </c>
      <c r="I53" s="52">
        <v>104050</v>
      </c>
      <c r="J53" s="10">
        <v>7552</v>
      </c>
      <c r="K53" s="27">
        <f t="shared" si="5"/>
        <v>0.14348508686611983</v>
      </c>
      <c r="L53" s="31">
        <f t="shared" si="6"/>
        <v>621112.47</v>
      </c>
      <c r="M53" s="31" t="e">
        <f>+IF(#REF!&gt;0,#REF!-(I53=J53),"-")</f>
        <v>#REF!</v>
      </c>
      <c r="N53" s="31" t="e">
        <f>+IF(#REF!&gt;0,((I53+J53)/#REF!),"-")</f>
        <v>#REF!</v>
      </c>
      <c r="O53" s="31">
        <f t="shared" si="7"/>
        <v>20810</v>
      </c>
    </row>
    <row r="54" spans="1:15" ht="16.5">
      <c r="A54" s="25" t="s">
        <v>53</v>
      </c>
      <c r="B54" s="22" t="s">
        <v>115</v>
      </c>
      <c r="C54" s="9" t="s">
        <v>116</v>
      </c>
      <c r="D54" s="4" t="s">
        <v>88</v>
      </c>
      <c r="E54" s="32">
        <v>207104.46</v>
      </c>
      <c r="F54" s="61">
        <v>199644.54</v>
      </c>
      <c r="G54" s="57">
        <v>177903</v>
      </c>
      <c r="H54" s="32">
        <f t="shared" si="4"/>
        <v>377547.54000000004</v>
      </c>
      <c r="I54" s="52">
        <v>77444</v>
      </c>
      <c r="J54" s="10">
        <v>4572</v>
      </c>
      <c r="K54" s="27">
        <f t="shared" si="5"/>
        <v>0.20512383685508848</v>
      </c>
      <c r="L54" s="31">
        <f t="shared" si="6"/>
        <v>300103.54000000004</v>
      </c>
      <c r="M54" s="31" t="e">
        <f>+IF(#REF!&gt;0,#REF!-(I54=J54),"-")</f>
        <v>#REF!</v>
      </c>
      <c r="N54" s="31" t="e">
        <f>+IF(#REF!&gt;0,((I54+J54)/#REF!),"-")</f>
        <v>#REF!</v>
      </c>
      <c r="O54" s="31">
        <f t="shared" si="7"/>
        <v>15488.8</v>
      </c>
    </row>
    <row r="55" spans="1:15" ht="16.5">
      <c r="A55" s="25" t="s">
        <v>54</v>
      </c>
      <c r="B55" s="23" t="s">
        <v>117</v>
      </c>
      <c r="C55" s="9" t="s">
        <v>90</v>
      </c>
      <c r="D55" s="4" t="s">
        <v>88</v>
      </c>
      <c r="E55" s="32">
        <v>164582.35</v>
      </c>
      <c r="F55" s="61">
        <v>181266.65</v>
      </c>
      <c r="G55" s="57">
        <v>138903</v>
      </c>
      <c r="H55" s="32">
        <f t="shared" si="4"/>
        <v>320169.65</v>
      </c>
      <c r="I55" s="52">
        <v>76244</v>
      </c>
      <c r="J55" s="10">
        <v>2980</v>
      </c>
      <c r="K55" s="27">
        <f t="shared" si="5"/>
        <v>0.23813625057840426</v>
      </c>
      <c r="L55" s="31">
        <f t="shared" si="6"/>
        <v>243925.65000000002</v>
      </c>
      <c r="M55" s="31" t="e">
        <f>+IF(#REF!&gt;0,#REF!-(I55=J55),"-")</f>
        <v>#REF!</v>
      </c>
      <c r="N55" s="31" t="e">
        <f>+IF(#REF!&gt;0,((I55+J55)/#REF!),"-")</f>
        <v>#REF!</v>
      </c>
      <c r="O55" s="31">
        <f t="shared" si="7"/>
        <v>15248.8</v>
      </c>
    </row>
    <row r="56" spans="1:15" ht="16.5">
      <c r="A56" s="25" t="s">
        <v>55</v>
      </c>
      <c r="B56" s="23" t="s">
        <v>118</v>
      </c>
      <c r="C56" s="9" t="s">
        <v>92</v>
      </c>
      <c r="D56" s="4" t="s">
        <v>88</v>
      </c>
      <c r="E56" s="32">
        <v>42522.11</v>
      </c>
      <c r="F56" s="61">
        <v>18377.89</v>
      </c>
      <c r="G56" s="57">
        <v>39000</v>
      </c>
      <c r="H56" s="32">
        <f t="shared" si="4"/>
        <v>57377.89</v>
      </c>
      <c r="I56" s="52">
        <v>491</v>
      </c>
      <c r="K56" s="27">
        <f t="shared" si="5"/>
        <v>0.008557303170262971</v>
      </c>
      <c r="L56" s="31">
        <f t="shared" si="6"/>
        <v>56886.89</v>
      </c>
      <c r="M56" s="31" t="e">
        <f>+IF(#REF!&gt;0,#REF!-(I56=J56),"-")</f>
        <v>#REF!</v>
      </c>
      <c r="N56" s="31" t="e">
        <f>+IF(#REF!&gt;0,((I56+J56)/#REF!),"-")</f>
        <v>#REF!</v>
      </c>
      <c r="O56" s="31">
        <f t="shared" si="7"/>
        <v>98.2</v>
      </c>
    </row>
    <row r="57" spans="1:15" ht="16.5">
      <c r="A57" s="25" t="s">
        <v>56</v>
      </c>
      <c r="B57" s="23" t="s">
        <v>119</v>
      </c>
      <c r="C57" s="9" t="s">
        <v>101</v>
      </c>
      <c r="D57" s="4" t="s">
        <v>88</v>
      </c>
      <c r="E57" s="32">
        <v>0</v>
      </c>
      <c r="F57" s="61">
        <v>0</v>
      </c>
      <c r="G57" s="57"/>
      <c r="H57" s="32">
        <f t="shared" si="4"/>
        <v>0</v>
      </c>
      <c r="I57" s="52">
        <v>709</v>
      </c>
      <c r="K57" s="27" t="str">
        <f t="shared" si="5"/>
        <v>-</v>
      </c>
      <c r="L57" s="31" t="str">
        <f t="shared" si="6"/>
        <v>-</v>
      </c>
      <c r="M57" s="31" t="e">
        <f>+IF(#REF!&gt;0,#REF!-(I57=J57),"-")</f>
        <v>#REF!</v>
      </c>
      <c r="N57" s="31" t="e">
        <f>+IF(#REF!&gt;0,((I57+J57)/#REF!),"-")</f>
        <v>#REF!</v>
      </c>
      <c r="O57" s="31">
        <f t="shared" si="7"/>
        <v>141.8</v>
      </c>
    </row>
    <row r="58" spans="1:15" ht="16.5">
      <c r="A58" s="25" t="s">
        <v>57</v>
      </c>
      <c r="B58" s="23" t="s">
        <v>120</v>
      </c>
      <c r="C58" s="9" t="s">
        <v>121</v>
      </c>
      <c r="D58" s="4" t="s">
        <v>88</v>
      </c>
      <c r="E58" s="32">
        <v>11758.87</v>
      </c>
      <c r="F58" s="61">
        <v>54200.13</v>
      </c>
      <c r="G58" s="57">
        <v>29000</v>
      </c>
      <c r="H58" s="32">
        <f t="shared" si="4"/>
        <v>83200.13</v>
      </c>
      <c r="I58" s="52">
        <v>132.72</v>
      </c>
      <c r="K58" s="27">
        <f t="shared" si="5"/>
        <v>0.0015951898152082214</v>
      </c>
      <c r="L58" s="31">
        <f t="shared" si="6"/>
        <v>83067.41</v>
      </c>
      <c r="M58" s="31" t="e">
        <f>+IF(#REF!&gt;0,#REF!-(I58=J58),"-")</f>
        <v>#REF!</v>
      </c>
      <c r="N58" s="31" t="e">
        <f>+IF(#REF!&gt;0,((I58+J58)/#REF!),"-")</f>
        <v>#REF!</v>
      </c>
      <c r="O58" s="31">
        <f t="shared" si="7"/>
        <v>26.544</v>
      </c>
    </row>
    <row r="59" spans="1:15" ht="16.5">
      <c r="A59" s="25" t="s">
        <v>58</v>
      </c>
      <c r="B59" s="23" t="s">
        <v>122</v>
      </c>
      <c r="C59" s="9" t="s">
        <v>92</v>
      </c>
      <c r="D59" s="4" t="s">
        <v>88</v>
      </c>
      <c r="E59" s="32">
        <v>11758.87</v>
      </c>
      <c r="F59" s="61">
        <v>0.13000000000010914</v>
      </c>
      <c r="G59" s="57">
        <v>4000</v>
      </c>
      <c r="H59" s="32">
        <f t="shared" si="4"/>
        <v>4000.13</v>
      </c>
      <c r="I59" s="52">
        <v>132.72</v>
      </c>
      <c r="K59" s="27">
        <f t="shared" si="5"/>
        <v>0.033178921685045236</v>
      </c>
      <c r="L59" s="31">
        <f t="shared" si="6"/>
        <v>3867.4100000000003</v>
      </c>
      <c r="M59" s="31" t="e">
        <f>+IF(#REF!&gt;0,#REF!-(I59=J59),"-")</f>
        <v>#REF!</v>
      </c>
      <c r="N59" s="31" t="e">
        <f>+IF(#REF!&gt;0,((I59+J59)/#REF!),"-")</f>
        <v>#REF!</v>
      </c>
      <c r="O59" s="31">
        <f t="shared" si="7"/>
        <v>26.544</v>
      </c>
    </row>
    <row r="60" spans="1:15" ht="16.5">
      <c r="A60" s="25" t="s">
        <v>59</v>
      </c>
      <c r="B60" s="24" t="s">
        <v>123</v>
      </c>
      <c r="C60" s="9" t="s">
        <v>101</v>
      </c>
      <c r="D60" s="4" t="s">
        <v>88</v>
      </c>
      <c r="E60" s="32">
        <v>0</v>
      </c>
      <c r="F60" s="61">
        <v>54200</v>
      </c>
      <c r="G60" s="57">
        <v>25000</v>
      </c>
      <c r="H60" s="32">
        <f t="shared" si="4"/>
        <v>79200</v>
      </c>
      <c r="I60" s="52">
        <v>0</v>
      </c>
      <c r="K60" s="27">
        <f t="shared" si="5"/>
        <v>0</v>
      </c>
      <c r="L60" s="31">
        <f t="shared" si="6"/>
        <v>79200</v>
      </c>
      <c r="M60" s="31" t="e">
        <f>+IF(#REF!&gt;0,#REF!-(I60=J60),"-")</f>
        <v>#REF!</v>
      </c>
      <c r="N60" s="31" t="e">
        <f>+IF(#REF!&gt;0,((I60+J60)/#REF!),"-")</f>
        <v>#REF!</v>
      </c>
      <c r="O60" s="31">
        <f t="shared" si="7"/>
        <v>0</v>
      </c>
    </row>
    <row r="61" spans="1:15" ht="16.5">
      <c r="A61" s="25" t="s">
        <v>60</v>
      </c>
      <c r="B61" s="20" t="s">
        <v>124</v>
      </c>
      <c r="C61" s="9" t="s">
        <v>125</v>
      </c>
      <c r="D61" s="4" t="s">
        <v>88</v>
      </c>
      <c r="E61" s="32">
        <v>49690.88</v>
      </c>
      <c r="F61" s="61">
        <v>131414.8</v>
      </c>
      <c r="G61" s="57">
        <v>133000</v>
      </c>
      <c r="H61" s="32">
        <f t="shared" si="4"/>
        <v>264414.8</v>
      </c>
      <c r="I61" s="52">
        <v>26473</v>
      </c>
      <c r="K61" s="27">
        <f t="shared" si="5"/>
        <v>0.1001192066404755</v>
      </c>
      <c r="L61" s="31">
        <f t="shared" si="6"/>
        <v>237941.8</v>
      </c>
      <c r="M61" s="31" t="e">
        <f>+IF(#REF!&gt;0,#REF!-(I61=J61),"-")</f>
        <v>#REF!</v>
      </c>
      <c r="N61" s="31" t="e">
        <f>+IF(#REF!&gt;0,((I61+J61)/#REF!),"-")</f>
        <v>#REF!</v>
      </c>
      <c r="O61" s="31">
        <f t="shared" si="7"/>
        <v>5294.6</v>
      </c>
    </row>
    <row r="62" spans="1:15" ht="16.5">
      <c r="A62" s="25" t="s">
        <v>61</v>
      </c>
      <c r="B62" s="21" t="s">
        <v>126</v>
      </c>
      <c r="C62" s="9" t="s">
        <v>90</v>
      </c>
      <c r="D62" s="4" t="s">
        <v>88</v>
      </c>
      <c r="E62" s="32">
        <v>6213.22</v>
      </c>
      <c r="F62" s="61">
        <v>100986.78</v>
      </c>
      <c r="G62" s="57">
        <v>52000</v>
      </c>
      <c r="H62" s="32">
        <f t="shared" si="4"/>
        <v>152986.78</v>
      </c>
      <c r="I62" s="52">
        <v>11417</v>
      </c>
      <c r="K62" s="27">
        <f t="shared" si="5"/>
        <v>0.07462736322707099</v>
      </c>
      <c r="L62" s="31">
        <f t="shared" si="6"/>
        <v>141569.78</v>
      </c>
      <c r="M62" s="31" t="e">
        <f>+IF(#REF!&gt;0,#REF!-(I62=J62),"-")</f>
        <v>#REF!</v>
      </c>
      <c r="N62" s="31" t="e">
        <f>+IF(#REF!&gt;0,((I62+J62)/#REF!),"-")</f>
        <v>#REF!</v>
      </c>
      <c r="O62" s="31">
        <f t="shared" si="7"/>
        <v>2283.4</v>
      </c>
    </row>
    <row r="63" spans="1:15" ht="12.75">
      <c r="A63" s="25" t="s">
        <v>62</v>
      </c>
      <c r="B63" s="8" t="s">
        <v>127</v>
      </c>
      <c r="C63" s="9" t="s">
        <v>92</v>
      </c>
      <c r="D63" s="4" t="s">
        <v>88</v>
      </c>
      <c r="E63" s="32">
        <v>11432.07</v>
      </c>
      <c r="F63" s="61">
        <v>2567.93</v>
      </c>
      <c r="G63" s="57">
        <v>56000</v>
      </c>
      <c r="H63" s="32">
        <f t="shared" si="4"/>
        <v>58567.93</v>
      </c>
      <c r="I63" s="52">
        <v>243</v>
      </c>
      <c r="K63" s="27">
        <f t="shared" si="5"/>
        <v>0.00414902831634992</v>
      </c>
      <c r="L63" s="31">
        <f t="shared" si="6"/>
        <v>58324.93</v>
      </c>
      <c r="M63" s="31" t="e">
        <f>+IF(#REF!&gt;0,#REF!-(I63=J63),"-")</f>
        <v>#REF!</v>
      </c>
      <c r="N63" s="31" t="e">
        <f>+IF(#REF!&gt;0,((I63+J63)/#REF!),"-")</f>
        <v>#REF!</v>
      </c>
      <c r="O63" s="31">
        <f t="shared" si="7"/>
        <v>48.6</v>
      </c>
    </row>
    <row r="64" spans="1:15" ht="12.75">
      <c r="A64" s="25" t="s">
        <v>63</v>
      </c>
      <c r="B64" s="8" t="s">
        <v>128</v>
      </c>
      <c r="C64" s="9" t="s">
        <v>101</v>
      </c>
      <c r="D64" s="4" t="s">
        <v>88</v>
      </c>
      <c r="E64" s="32">
        <v>32039.91</v>
      </c>
      <c r="F64" s="61">
        <v>27860.09</v>
      </c>
      <c r="G64" s="57">
        <v>25000</v>
      </c>
      <c r="H64" s="32">
        <f t="shared" si="4"/>
        <v>52860.09</v>
      </c>
      <c r="I64" s="52">
        <v>15113</v>
      </c>
      <c r="K64" s="27">
        <f t="shared" si="5"/>
        <v>0.2859056804481415</v>
      </c>
      <c r="L64" s="31">
        <f t="shared" si="6"/>
        <v>37747.09</v>
      </c>
      <c r="M64" s="31" t="e">
        <f>+IF(#REF!&gt;0,#REF!-(I64=J64),"-")</f>
        <v>#REF!</v>
      </c>
      <c r="N64" s="31" t="e">
        <f>+IF(#REF!&gt;0,((I64+J64)/#REF!),"-")</f>
        <v>#REF!</v>
      </c>
      <c r="O64" s="31">
        <f t="shared" si="7"/>
        <v>3022.6</v>
      </c>
    </row>
    <row r="65" spans="6:15" ht="12.75">
      <c r="F65" s="1"/>
      <c r="G65" s="1"/>
      <c r="H65" s="1"/>
      <c r="O65" s="31"/>
    </row>
    <row r="66" spans="2:15" s="70" customFormat="1" ht="12.75">
      <c r="B66" s="65" t="s">
        <v>64</v>
      </c>
      <c r="C66" s="66"/>
      <c r="D66" s="67"/>
      <c r="E66" s="68">
        <f>E29+E32</f>
        <v>4177441.4899999998</v>
      </c>
      <c r="F66" s="68">
        <f>F29+F32</f>
        <v>1097946.19</v>
      </c>
      <c r="G66" s="68">
        <f>G29+G32</f>
        <v>4676995</v>
      </c>
      <c r="H66" s="68">
        <f>H29+H32</f>
        <v>5774941.1899999995</v>
      </c>
      <c r="I66" s="68">
        <f>I29+I32</f>
        <v>2093154</v>
      </c>
      <c r="J66" s="69"/>
      <c r="K66" s="63">
        <f>+IF(H66&gt;0,I66/H66,"-")</f>
        <v>0.3624546001653742</v>
      </c>
      <c r="L66" s="64">
        <f>+IF(H66&gt;0,H66-I66,"-")</f>
        <v>3681787.1899999995</v>
      </c>
      <c r="M66" s="64" t="e">
        <f>+IF(#REF!&gt;0,#REF!-(I66=J66),"-")</f>
        <v>#REF!</v>
      </c>
      <c r="N66" s="64" t="e">
        <f>+IF(#REF!&gt;0,((I66+J66)/#REF!),"-")</f>
        <v>#REF!</v>
      </c>
      <c r="O66" s="64">
        <f>I66/$O$4</f>
        <v>418630.8</v>
      </c>
    </row>
    <row r="67" ht="12.75">
      <c r="H67" s="1"/>
    </row>
    <row r="68" spans="6:8" ht="12.75">
      <c r="F68" s="52"/>
      <c r="G68" s="52"/>
      <c r="H68" s="52"/>
    </row>
  </sheetData>
  <printOptions horizontalCentered="1"/>
  <pageMargins left="0.23" right="0.23" top="0.5" bottom="0.65" header="0.5" footer="0.5"/>
  <pageSetup horizontalDpi="600" verticalDpi="600" orientation="landscape" pageOrder="overThenDown" scale="70" r:id="rId1"/>
  <headerFooter alignWithMargins="0">
    <oddFooter>&amp;L&amp;D &amp;T&amp;C&amp;F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d_faulkner</dc:creator>
  <cp:keywords/>
  <dc:description/>
  <cp:lastModifiedBy>Jonathan Chubb</cp:lastModifiedBy>
  <cp:lastPrinted>2001-03-08T23:41:25Z</cp:lastPrinted>
  <dcterms:created xsi:type="dcterms:W3CDTF">1998-05-21T19:47:05Z</dcterms:created>
  <dcterms:modified xsi:type="dcterms:W3CDTF">2001-02-28T19:11:37Z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